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tabRatio="743" activeTab="1"/>
  </bookViews>
  <sheets>
    <sheet name="travaux SDEG" sheetId="7" r:id="rId1"/>
    <sheet name="Suivi des travaux" sheetId="5" r:id="rId2"/>
    <sheet name="FACT LOT 1" sheetId="1" r:id="rId3"/>
    <sheet name="FACT LOT 2" sheetId="2" r:id="rId4"/>
    <sheet name="SUB CD16" sheetId="3" r:id="rId5"/>
    <sheet name="SUB DETR" sheetId="4" r:id="rId6"/>
    <sheet name="Acompte DETR Phase 1" sheetId="6" r:id="rId7"/>
    <sheet name="Acompte DETR Phase 2" sheetId="8" r:id="rId8"/>
    <sheet name="Solde DETR Phase 1" sheetId="9" r:id="rId9"/>
    <sheet name="Acompte DETR Phase 2 PREF" sheetId="10" r:id="rId10"/>
    <sheet name="Solde DETR Phase 1 PREF" sheetId="11" r:id="rId11"/>
    <sheet name="Solde DETR Phase 2" sheetId="12" r:id="rId12"/>
  </sheets>
  <calcPr calcId="124519"/>
</workbook>
</file>

<file path=xl/calcChain.xml><?xml version="1.0" encoding="utf-8"?>
<calcChain xmlns="http://schemas.openxmlformats.org/spreadsheetml/2006/main">
  <c r="F18" i="5"/>
  <c r="C10" i="2"/>
  <c r="I30" i="12"/>
  <c r="G31"/>
  <c r="G33" s="1"/>
  <c r="F31"/>
  <c r="F32"/>
  <c r="H10" i="3"/>
  <c r="C4" i="2"/>
  <c r="D7"/>
  <c r="D25" s="1"/>
  <c r="F21" i="11"/>
  <c r="F29" i="10"/>
  <c r="G29"/>
  <c r="F28"/>
  <c r="G27"/>
  <c r="F27"/>
  <c r="G21" i="11"/>
  <c r="F35" i="8"/>
  <c r="F36"/>
  <c r="F22" i="9"/>
  <c r="F23"/>
  <c r="Q7"/>
  <c r="K7"/>
  <c r="E7"/>
  <c r="E18"/>
  <c r="E17"/>
  <c r="E16"/>
  <c r="E14"/>
  <c r="E15"/>
  <c r="E10"/>
  <c r="E9"/>
  <c r="F34" i="8"/>
  <c r="D10"/>
  <c r="D8"/>
  <c r="C30" i="6"/>
  <c r="C29"/>
  <c r="E19" i="8"/>
  <c r="E28" s="1"/>
  <c r="K8"/>
  <c r="K13" s="1"/>
  <c r="P10"/>
  <c r="P9"/>
  <c r="Q8"/>
  <c r="P28"/>
  <c r="Q26"/>
  <c r="Q25"/>
  <c r="Q21"/>
  <c r="Q19"/>
  <c r="J28"/>
  <c r="K27"/>
  <c r="K26"/>
  <c r="K25"/>
  <c r="K24"/>
  <c r="K23"/>
  <c r="K22"/>
  <c r="K21"/>
  <c r="K20"/>
  <c r="K19"/>
  <c r="D28"/>
  <c r="V13"/>
  <c r="W8"/>
  <c r="W13" s="1"/>
  <c r="J13"/>
  <c r="G33" i="1"/>
  <c r="G32"/>
  <c r="D7" i="9"/>
  <c r="G3" i="4"/>
  <c r="H3" s="1"/>
  <c r="K3" s="1"/>
  <c r="L7" i="1"/>
  <c r="B29" i="4"/>
  <c r="B25"/>
  <c r="B26" s="1"/>
  <c r="P7" i="9"/>
  <c r="J7"/>
  <c r="L29" i="1"/>
  <c r="K29"/>
  <c r="K11"/>
  <c r="H24"/>
  <c r="L24"/>
  <c r="A37"/>
  <c r="C33"/>
  <c r="J14" i="5"/>
  <c r="D12" i="8"/>
  <c r="F19" i="4"/>
  <c r="D20"/>
  <c r="D19"/>
  <c r="B20"/>
  <c r="B19"/>
  <c r="B15"/>
  <c r="C9"/>
  <c r="B11"/>
  <c r="C9" i="2"/>
  <c r="B28"/>
  <c r="B29" s="1"/>
  <c r="E16" i="5"/>
  <c r="K10" i="1"/>
  <c r="C18"/>
  <c r="D6" i="4"/>
  <c r="B7"/>
  <c r="C4" i="1"/>
  <c r="C12" i="7"/>
  <c r="E12"/>
  <c r="F9"/>
  <c r="D9"/>
  <c r="C9"/>
  <c r="E9"/>
  <c r="O9" i="1"/>
  <c r="O7" s="1"/>
  <c r="E15" i="5"/>
  <c r="F15" s="1"/>
  <c r="K7" i="6"/>
  <c r="F3" i="4"/>
  <c r="D16" i="1"/>
  <c r="D7" s="1"/>
  <c r="C16"/>
  <c r="A31"/>
  <c r="A30"/>
  <c r="A29"/>
  <c r="C14"/>
  <c r="E6" i="3"/>
  <c r="E5"/>
  <c r="J13" i="5"/>
  <c r="I22"/>
  <c r="J11"/>
  <c r="J9"/>
  <c r="J4"/>
  <c r="I4"/>
  <c r="D4"/>
  <c r="E14"/>
  <c r="F14" s="1"/>
  <c r="E13"/>
  <c r="F13" s="1"/>
  <c r="E12"/>
  <c r="F12" s="1"/>
  <c r="F11"/>
  <c r="E11"/>
  <c r="E10"/>
  <c r="F10" s="1"/>
  <c r="E9"/>
  <c r="F9" s="1"/>
  <c r="M7"/>
  <c r="N7"/>
  <c r="K9" i="1"/>
  <c r="C15"/>
  <c r="C17"/>
  <c r="C19"/>
  <c r="G10"/>
  <c r="G11"/>
  <c r="G12"/>
  <c r="G9"/>
  <c r="C13"/>
  <c r="C12"/>
  <c r="H4" i="3"/>
  <c r="H5"/>
  <c r="H6"/>
  <c r="H3"/>
  <c r="I6"/>
  <c r="I5"/>
  <c r="I4" i="4"/>
  <c r="I6" s="1"/>
  <c r="I3"/>
  <c r="E4"/>
  <c r="E3"/>
  <c r="E6" s="1"/>
  <c r="I7" i="2"/>
  <c r="H7"/>
  <c r="P7" i="1"/>
  <c r="K7"/>
  <c r="C7" i="2" l="1"/>
  <c r="G3" s="1"/>
  <c r="G4" i="4"/>
  <c r="H4" s="1"/>
  <c r="F33" i="12"/>
  <c r="F21" i="9"/>
  <c r="D13" i="8"/>
  <c r="E13" s="1"/>
  <c r="Q28"/>
  <c r="K28"/>
  <c r="P13"/>
  <c r="Q13"/>
  <c r="H6" i="4"/>
  <c r="J3"/>
  <c r="K4"/>
  <c r="J4"/>
  <c r="J6" s="1"/>
  <c r="J7" s="1"/>
  <c r="F7" i="5"/>
  <c r="G7" i="6"/>
  <c r="C7"/>
  <c r="J7" i="5"/>
  <c r="E7"/>
  <c r="E22" s="1"/>
  <c r="F22" s="1"/>
  <c r="I7"/>
  <c r="J22"/>
  <c r="C7" i="1"/>
  <c r="G7"/>
  <c r="D26" s="1"/>
  <c r="H30" i="5" l="1"/>
  <c r="D27" i="1"/>
  <c r="D20" i="6"/>
  <c r="F3" i="1"/>
  <c r="G26" l="1"/>
  <c r="G27" s="1"/>
  <c r="F4"/>
  <c r="H7"/>
  <c r="A35" s="1"/>
</calcChain>
</file>

<file path=xl/comments1.xml><?xml version="1.0" encoding="utf-8"?>
<comments xmlns="http://schemas.openxmlformats.org/spreadsheetml/2006/main">
  <authors>
    <author>Utilisateur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pour les situations 1 à 5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situation 6 + sa révision de prix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après déduction de l'avance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tranche ferme+TO1+TO2
</t>
        </r>
      </text>
    </comment>
  </commentList>
</comments>
</file>

<file path=xl/comments3.xml><?xml version="1.0" encoding="utf-8"?>
<comments xmlns="http://schemas.openxmlformats.org/spreadsheetml/2006/main">
  <authors>
    <author>Utilisateur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en 2020
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22.11.2022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envoyée le 24/08/2022
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10.11.2022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demande envoyée le 24/08/2022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10.11.2022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19.10.2022</t>
        </r>
      </text>
    </comment>
  </commentList>
</comments>
</file>

<file path=xl/comments4.xml><?xml version="1.0" encoding="utf-8"?>
<comments xmlns="http://schemas.openxmlformats.org/spreadsheetml/2006/main">
  <authors>
    <author>Utilisateur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montant travux HT 440000€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28.10.2021
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02.11.2022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montant des travaux HT 149679,40€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versé le 17.06.2022
avance de 30%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ok 20.10.2023</t>
        </r>
      </text>
    </comment>
  </commentList>
</comments>
</file>

<file path=xl/comments5.xml><?xml version="1.0" encoding="utf-8"?>
<comments xmlns="http://schemas.openxmlformats.org/spreadsheetml/2006/main">
  <authors>
    <author>Utilisateur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pour les situations 1 à 5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situation 6 + sa révision de prix
</t>
        </r>
      </text>
    </comment>
  </commentList>
</comments>
</file>

<file path=xl/comments6.xml><?xml version="1.0" encoding="utf-8"?>
<comments xmlns="http://schemas.openxmlformats.org/spreadsheetml/2006/main">
  <authors>
    <author>Utilisateur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établi sur le cumul de la situation 8</t>
        </r>
      </text>
    </comment>
  </commentList>
</comments>
</file>

<file path=xl/comments7.xml><?xml version="1.0" encoding="utf-8"?>
<comments xmlns="http://schemas.openxmlformats.org/spreadsheetml/2006/main">
  <authors>
    <author>Utilisateur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pour les situations 1 à 5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situation 6 + sa révision de prix
</t>
        </r>
      </text>
    </comment>
  </commentList>
</comments>
</file>

<file path=xl/comments8.xml><?xml version="1.0" encoding="utf-8"?>
<comments xmlns="http://schemas.openxmlformats.org/spreadsheetml/2006/main">
  <authors>
    <author>Utilisateur</author>
  </authors>
  <commentList>
    <comment ref="G21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- part non éligible à la DETR 93 633,50€ HT
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- part non éligible à la DETR 93 633,50€ HT</t>
        </r>
      </text>
    </comment>
  </commentList>
</comments>
</file>

<file path=xl/sharedStrings.xml><?xml version="1.0" encoding="utf-8"?>
<sst xmlns="http://schemas.openxmlformats.org/spreadsheetml/2006/main" count="622" uniqueCount="218">
  <si>
    <t>Dépenses - recettes Traverse de VADALLE</t>
  </si>
  <si>
    <t>SIGNALISATION 16</t>
  </si>
  <si>
    <t>Montant du marché</t>
  </si>
  <si>
    <t>HT</t>
  </si>
  <si>
    <t>TTC</t>
  </si>
  <si>
    <t>EUROVIA</t>
  </si>
  <si>
    <t>Cumuls</t>
  </si>
  <si>
    <t>Situation n°1</t>
  </si>
  <si>
    <t>Situation n°2</t>
  </si>
  <si>
    <t>Situation n°3</t>
  </si>
  <si>
    <t>Situation n°4</t>
  </si>
  <si>
    <t>Situation n°5</t>
  </si>
  <si>
    <t>Situation n°6</t>
  </si>
  <si>
    <t>Situation n°7</t>
  </si>
  <si>
    <t>Situation n°8</t>
  </si>
  <si>
    <t>Situation n°9</t>
  </si>
  <si>
    <t>Situation n°10</t>
  </si>
  <si>
    <t>Situation n°11</t>
  </si>
  <si>
    <t>Situation n°12</t>
  </si>
  <si>
    <t>Situation n°13</t>
  </si>
  <si>
    <t>Situation n°14</t>
  </si>
  <si>
    <t>date</t>
  </si>
  <si>
    <t>SUIVI DE DEPENSE</t>
  </si>
  <si>
    <t>AMENDES DE POLICE 2020</t>
  </si>
  <si>
    <t>BANDE DE ROULEMENT</t>
  </si>
  <si>
    <t>SUD OUEST PAVAGE</t>
  </si>
  <si>
    <t>Avance</t>
  </si>
  <si>
    <t>RESTE SUR MARCHE HT</t>
  </si>
  <si>
    <t>Montant accordé</t>
  </si>
  <si>
    <t>% des travaux</t>
  </si>
  <si>
    <t>Montant corrigé</t>
  </si>
  <si>
    <t>Versement 1</t>
  </si>
  <si>
    <t>Versement 2</t>
  </si>
  <si>
    <t>SCHEMA DU BATI 2021</t>
  </si>
  <si>
    <t>SCHEMA DU BATI 2022</t>
  </si>
  <si>
    <t>DETR Phase 1</t>
  </si>
  <si>
    <t>DETR Phase 2</t>
  </si>
  <si>
    <t>AMENDES DE POLICE 2022</t>
  </si>
  <si>
    <t>Total versements</t>
  </si>
  <si>
    <t>Suivi corrigé</t>
  </si>
  <si>
    <t>Solde</t>
  </si>
  <si>
    <t>Avant projet</t>
  </si>
  <si>
    <t>Projet</t>
  </si>
  <si>
    <t>ACT</t>
  </si>
  <si>
    <t>DET</t>
  </si>
  <si>
    <t>AOR</t>
  </si>
  <si>
    <t>Assistance pour la passation des Contrats de Travaux</t>
  </si>
  <si>
    <t>Direction de l'Exécution du contrat de Travaux</t>
  </si>
  <si>
    <t>Assistance lors des Opérations de Réception</t>
  </si>
  <si>
    <t>BETG Suivi complet de l'opération</t>
  </si>
  <si>
    <t>Atelier du Sablier Assistance paysagère</t>
  </si>
  <si>
    <t>Reste à payer</t>
  </si>
  <si>
    <t>ETS ROBIN</t>
  </si>
  <si>
    <t>Révision de prix</t>
  </si>
  <si>
    <t>Etat récapitulatif HT Traverse de Vadalle DETR Phase 1</t>
  </si>
  <si>
    <t>TOTAL</t>
  </si>
  <si>
    <t>Fait à aussac-Vadalle, le 10 octobre 2022</t>
  </si>
  <si>
    <t>Gérard LIOT</t>
  </si>
  <si>
    <t>Le Maire</t>
  </si>
  <si>
    <t>Visa du comptable</t>
  </si>
  <si>
    <t>340 -- 67</t>
  </si>
  <si>
    <t>305 -- 54</t>
  </si>
  <si>
    <t>383 -- 74</t>
  </si>
  <si>
    <t>500 -- 105</t>
  </si>
  <si>
    <t>501 -- 105</t>
  </si>
  <si>
    <t>548 -- 122</t>
  </si>
  <si>
    <t>591 -- 134</t>
  </si>
  <si>
    <t>549 -- 122</t>
  </si>
  <si>
    <t>384 -- 74</t>
  </si>
  <si>
    <t>488 -- 102</t>
  </si>
  <si>
    <t>489 -- 102</t>
  </si>
  <si>
    <t>490 -- 102</t>
  </si>
  <si>
    <t>mandat/bordereau</t>
  </si>
  <si>
    <t>Communications Electroniques (CER) / AOOV2-2019/2021-PR-348</t>
  </si>
  <si>
    <t>Orange (Etude / câblage) - 2022-HM-19 / 2022-HM-20</t>
  </si>
  <si>
    <t>Effacement élec (Hors CER) / AOOV2-2019/2021-PR-350</t>
  </si>
  <si>
    <t>Communications Electroniques (Hors CER) / AOOV2-2019/2021-PR-351</t>
  </si>
  <si>
    <t>Eclairage Public hors concession / AOOV2-2019/2021-EP.HC-340</t>
  </si>
  <si>
    <t>Eclairage Public matériel / AOOV2-2019/2021-EP-1227</t>
  </si>
  <si>
    <t>FCTVA</t>
  </si>
  <si>
    <t>Total des travaux</t>
  </si>
  <si>
    <t>COMMUNE théorique</t>
  </si>
  <si>
    <t>COMMUNE réel</t>
  </si>
  <si>
    <t>FONCT</t>
  </si>
  <si>
    <t>INVT</t>
  </si>
  <si>
    <t>RESTE SUR MARCHE TTC</t>
  </si>
  <si>
    <t>JARDINS DE L'ANGOUMOIS</t>
  </si>
  <si>
    <t>Reste</t>
  </si>
  <si>
    <t>Montant actualisé +4%</t>
  </si>
  <si>
    <t xml:space="preserve">soit une actualisation de </t>
  </si>
  <si>
    <t>avenant à venir</t>
  </si>
  <si>
    <t>Imputations P2</t>
  </si>
  <si>
    <t>Plafond</t>
  </si>
  <si>
    <t>phase 1</t>
  </si>
  <si>
    <t>Etat récapitulatif HT Traverse de Vadalle DETR Phase 2</t>
  </si>
  <si>
    <t>LES JARDINS DE L'ANGOUMOIS</t>
  </si>
  <si>
    <t>660--154</t>
  </si>
  <si>
    <t>47--5</t>
  </si>
  <si>
    <t>661--154</t>
  </si>
  <si>
    <t>48--5</t>
  </si>
  <si>
    <t>82--15</t>
  </si>
  <si>
    <t>662--154</t>
  </si>
  <si>
    <t>Sit. n°7</t>
  </si>
  <si>
    <t>Sit. n°8</t>
  </si>
  <si>
    <t>Sit. n°4</t>
  </si>
  <si>
    <t>Sit. n°2</t>
  </si>
  <si>
    <t>Sit. n°3</t>
  </si>
  <si>
    <t>Sit. n°1</t>
  </si>
  <si>
    <t>Part non éligible à la DETR :</t>
  </si>
  <si>
    <t>BETG</t>
  </si>
  <si>
    <t>ATELIER DU SABLIER</t>
  </si>
  <si>
    <t>RESTE A PAYER TTC</t>
  </si>
  <si>
    <t>payés TTC</t>
  </si>
  <si>
    <t>pour la phase 2</t>
  </si>
  <si>
    <t>Situation n°9 Phase 2</t>
  </si>
  <si>
    <t>Situation n°9 Phase 1</t>
  </si>
  <si>
    <t>615--79</t>
  </si>
  <si>
    <t>256--43</t>
  </si>
  <si>
    <t>94--20</t>
  </si>
  <si>
    <t>646--111</t>
  </si>
  <si>
    <t>132--12</t>
  </si>
  <si>
    <t>553--66</t>
  </si>
  <si>
    <t>634--84</t>
  </si>
  <si>
    <t>181--27</t>
  </si>
  <si>
    <t>499--104</t>
  </si>
  <si>
    <t>611--138</t>
  </si>
  <si>
    <t>49--5</t>
  </si>
  <si>
    <t>125--29</t>
  </si>
  <si>
    <t>DGD</t>
  </si>
  <si>
    <t>mandat--bordereau</t>
  </si>
  <si>
    <t>Sit. n°5</t>
  </si>
  <si>
    <t>Sit. n°6</t>
  </si>
  <si>
    <t>Sit. n°9 DGD</t>
  </si>
  <si>
    <t>phase 2</t>
  </si>
  <si>
    <t>509--135</t>
  </si>
  <si>
    <t>508-135</t>
  </si>
  <si>
    <t>F322A573.22.18006540</t>
  </si>
  <si>
    <t>F322A573.22.18007514</t>
  </si>
  <si>
    <t>N° facture</t>
  </si>
  <si>
    <t xml:space="preserve">Cumuls </t>
  </si>
  <si>
    <t>(ligne 1 = 36%)</t>
  </si>
  <si>
    <t>ligne 2 (=64%)</t>
  </si>
  <si>
    <t>00002293</t>
  </si>
  <si>
    <t>F2211046</t>
  </si>
  <si>
    <t>F2306004</t>
  </si>
  <si>
    <t>F2302004</t>
  </si>
  <si>
    <t>FV01309</t>
  </si>
  <si>
    <t>2020-11-1863</t>
  </si>
  <si>
    <t>2021-01-1885</t>
  </si>
  <si>
    <t>2021-08-1999</t>
  </si>
  <si>
    <t>2021-10-2015</t>
  </si>
  <si>
    <t>2022-02-2083</t>
  </si>
  <si>
    <t>2022-07-2147</t>
  </si>
  <si>
    <t>2022-09-2177</t>
  </si>
  <si>
    <t>2022-10-2236</t>
  </si>
  <si>
    <t>2023-01-2257</t>
  </si>
  <si>
    <t>21-795</t>
  </si>
  <si>
    <t>22-837</t>
  </si>
  <si>
    <t>22-874</t>
  </si>
  <si>
    <t>MONTANT TOTAL HT :</t>
  </si>
  <si>
    <t>Fait à Aussac-Vadalle, le 26 septembre 2023</t>
  </si>
  <si>
    <t>F322A573.22.18005114</t>
  </si>
  <si>
    <t>F322A573.22.18005113</t>
  </si>
  <si>
    <t>F322A573.22.18005733</t>
  </si>
  <si>
    <t>F322A573.22.18005734</t>
  </si>
  <si>
    <t>591--134</t>
  </si>
  <si>
    <t>F322A573.22.18004264</t>
  </si>
  <si>
    <t>F322A573.22.18003903</t>
  </si>
  <si>
    <t>F322A573.22.18002990</t>
  </si>
  <si>
    <t>F322A573.22.18002329</t>
  </si>
  <si>
    <t>00002143</t>
  </si>
  <si>
    <t>00002066</t>
  </si>
  <si>
    <t>F2206060</t>
  </si>
  <si>
    <t>00001999</t>
  </si>
  <si>
    <t>Fait à aussac-Vadalle, le 26 septembre 2023</t>
  </si>
  <si>
    <t>MONTANT TVA :</t>
  </si>
  <si>
    <t>MONTANT TOTAL TTC :</t>
  </si>
  <si>
    <t>Date</t>
  </si>
  <si>
    <t>Mandat N°</t>
  </si>
  <si>
    <t>Objet</t>
  </si>
  <si>
    <t>Entreprise</t>
  </si>
  <si>
    <t>Réalisé TTC</t>
  </si>
  <si>
    <t>Réalisé HT</t>
  </si>
  <si>
    <t>Situation 7</t>
  </si>
  <si>
    <t>Situation 8</t>
  </si>
  <si>
    <t>Situation 4</t>
  </si>
  <si>
    <t>Situation 2</t>
  </si>
  <si>
    <t>Situation 3</t>
  </si>
  <si>
    <t>Situation 1</t>
  </si>
  <si>
    <t>Traverse de Vadalle DETR Phase 2</t>
  </si>
  <si>
    <t>F322A573-22-18006540</t>
  </si>
  <si>
    <t>F322A573-22-18007514</t>
  </si>
  <si>
    <t>Certifié exact par le comptable,</t>
  </si>
  <si>
    <t>par le Maire, Gérard LIOT</t>
  </si>
  <si>
    <t>Tableau des factures acquittées</t>
  </si>
  <si>
    <t>Traverse de Vadalle DETR Phase 1</t>
  </si>
  <si>
    <t>F322A573-22-18002329</t>
  </si>
  <si>
    <t xml:space="preserve">déduction de la part non éligible à la DETR </t>
  </si>
  <si>
    <t>solde éligible</t>
  </si>
  <si>
    <t>Fact du 19.01.2023</t>
  </si>
  <si>
    <t>F322A573-22-18002990</t>
  </si>
  <si>
    <t>F322A573-22-18003903</t>
  </si>
  <si>
    <t>F322A573-22-18004264</t>
  </si>
  <si>
    <t>F322A573-22-18005113</t>
  </si>
  <si>
    <t>Situation 5</t>
  </si>
  <si>
    <t>F322A573-22-18005114</t>
  </si>
  <si>
    <t>F322A573-22-18005733</t>
  </si>
  <si>
    <t>Situation 6</t>
  </si>
  <si>
    <t>F322A573-22-18005734</t>
  </si>
  <si>
    <t>Situation 9 DGD</t>
  </si>
  <si>
    <t xml:space="preserve">Situation 1 </t>
  </si>
  <si>
    <t>Situation n°2 - DGD</t>
  </si>
  <si>
    <t>mandat--BJ</t>
  </si>
  <si>
    <t>F23000114</t>
  </si>
  <si>
    <t>702--175</t>
  </si>
  <si>
    <t>Facture F23000114</t>
  </si>
  <si>
    <t>23-918</t>
  </si>
  <si>
    <t>746--189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</si>
</sst>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\-mmm\-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0" xfId="0" applyBorder="1"/>
    <xf numFmtId="8" fontId="3" fillId="0" borderId="6" xfId="0" applyNumberFormat="1" applyFont="1" applyBorder="1" applyAlignment="1">
      <alignment horizontal="right"/>
    </xf>
    <xf numFmtId="0" fontId="4" fillId="2" borderId="5" xfId="1" applyBorder="1"/>
    <xf numFmtId="0" fontId="4" fillId="2" borderId="0" xfId="1" applyBorder="1"/>
    <xf numFmtId="44" fontId="4" fillId="2" borderId="0" xfId="1" applyNumberFormat="1" applyBorder="1"/>
    <xf numFmtId="44" fontId="4" fillId="2" borderId="6" xfId="1" applyNumberFormat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0" fillId="0" borderId="1" xfId="0" applyNumberFormat="1" applyBorder="1"/>
    <xf numFmtId="44" fontId="0" fillId="0" borderId="0" xfId="0" applyNumberFormat="1"/>
    <xf numFmtId="0" fontId="0" fillId="0" borderId="0" xfId="0" applyBorder="1" applyAlignment="1">
      <alignment horizontal="center"/>
    </xf>
    <xf numFmtId="8" fontId="3" fillId="0" borderId="6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164" fontId="0" fillId="0" borderId="0" xfId="0" applyNumberFormat="1"/>
    <xf numFmtId="10" fontId="0" fillId="0" borderId="0" xfId="0" applyNumberFormat="1"/>
    <xf numFmtId="16" fontId="0" fillId="0" borderId="0" xfId="0" applyNumberFormat="1" applyBorder="1"/>
    <xf numFmtId="10" fontId="0" fillId="0" borderId="0" xfId="0" applyNumberFormat="1" applyBorder="1"/>
    <xf numFmtId="10" fontId="0" fillId="0" borderId="8" xfId="0" applyNumberFormat="1" applyBorder="1"/>
    <xf numFmtId="164" fontId="4" fillId="2" borderId="0" xfId="1" applyNumberFormat="1" applyBorder="1"/>
    <xf numFmtId="164" fontId="4" fillId="2" borderId="6" xfId="1" applyNumberFormat="1" applyBorder="1"/>
    <xf numFmtId="0" fontId="7" fillId="0" borderId="0" xfId="2" applyFill="1" applyAlignment="1">
      <alignment horizontal="center"/>
    </xf>
    <xf numFmtId="0" fontId="7" fillId="0" borderId="0" xfId="2" applyFill="1"/>
    <xf numFmtId="0" fontId="8" fillId="0" borderId="0" xfId="0" applyFont="1"/>
    <xf numFmtId="44" fontId="8" fillId="0" borderId="0" xfId="0" applyNumberFormat="1" applyFont="1"/>
    <xf numFmtId="0" fontId="0" fillId="0" borderId="6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8" fontId="1" fillId="4" borderId="0" xfId="0" applyNumberFormat="1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5" xfId="0" applyFill="1" applyBorder="1"/>
    <xf numFmtId="165" fontId="0" fillId="4" borderId="0" xfId="0" applyNumberFormat="1" applyFill="1" applyBorder="1"/>
    <xf numFmtId="164" fontId="0" fillId="4" borderId="0" xfId="0" applyNumberFormat="1" applyFill="1" applyBorder="1"/>
    <xf numFmtId="164" fontId="0" fillId="4" borderId="6" xfId="0" applyNumberFormat="1" applyFill="1" applyBorder="1"/>
    <xf numFmtId="0" fontId="0" fillId="4" borderId="0" xfId="0" applyFill="1"/>
    <xf numFmtId="0" fontId="0" fillId="0" borderId="5" xfId="0" applyBorder="1" applyAlignment="1">
      <alignment horizontal="center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2" fillId="0" borderId="0" xfId="0" applyFont="1" applyBorder="1"/>
    <xf numFmtId="164" fontId="12" fillId="0" borderId="0" xfId="0" applyNumberFormat="1" applyFont="1" applyBorder="1"/>
    <xf numFmtId="165" fontId="12" fillId="0" borderId="0" xfId="0" applyNumberFormat="1" applyFont="1" applyBorder="1"/>
    <xf numFmtId="10" fontId="12" fillId="0" borderId="0" xfId="0" applyNumberFormat="1" applyFont="1" applyBorder="1"/>
    <xf numFmtId="44" fontId="12" fillId="0" borderId="0" xfId="0" applyNumberFormat="1" applyFont="1"/>
    <xf numFmtId="0" fontId="0" fillId="5" borderId="0" xfId="0" applyFill="1"/>
    <xf numFmtId="164" fontId="0" fillId="5" borderId="6" xfId="0" applyNumberFormat="1" applyFill="1" applyBorder="1"/>
    <xf numFmtId="164" fontId="0" fillId="5" borderId="0" xfId="0" applyNumberFormat="1" applyFill="1" applyBorder="1"/>
    <xf numFmtId="0" fontId="0" fillId="5" borderId="5" xfId="0" applyFill="1" applyBorder="1"/>
    <xf numFmtId="165" fontId="0" fillId="5" borderId="0" xfId="0" applyNumberFormat="1" applyFill="1" applyBorder="1"/>
    <xf numFmtId="16" fontId="0" fillId="5" borderId="0" xfId="0" applyNumberFormat="1" applyFill="1" applyBorder="1"/>
    <xf numFmtId="0" fontId="13" fillId="0" borderId="0" xfId="0" applyFont="1"/>
    <xf numFmtId="0" fontId="0" fillId="0" borderId="0" xfId="0" applyFill="1" applyBorder="1" applyAlignment="1">
      <alignment horizontal="center"/>
    </xf>
    <xf numFmtId="0" fontId="4" fillId="0" borderId="0" xfId="1" applyFill="1" applyBorder="1"/>
    <xf numFmtId="0" fontId="9" fillId="0" borderId="0" xfId="0" applyFont="1" applyAlignment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16" xfId="0" applyBorder="1"/>
    <xf numFmtId="0" fontId="0" fillId="0" borderId="17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8" xfId="0" applyFont="1" applyBorder="1" applyAlignment="1">
      <alignment horizontal="center"/>
    </xf>
    <xf numFmtId="44" fontId="4" fillId="2" borderId="21" xfId="1" applyNumberFormat="1" applyBorder="1"/>
    <xf numFmtId="0" fontId="12" fillId="0" borderId="13" xfId="0" applyFont="1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2" borderId="21" xfId="1" applyBorder="1"/>
    <xf numFmtId="0" fontId="12" fillId="0" borderId="16" xfId="0" applyFont="1" applyBorder="1" applyAlignment="1">
      <alignment horizontal="center" wrapText="1"/>
    </xf>
    <xf numFmtId="0" fontId="0" fillId="0" borderId="17" xfId="0" applyBorder="1"/>
    <xf numFmtId="0" fontId="12" fillId="0" borderId="18" xfId="0" applyFont="1" applyBorder="1" applyAlignment="1">
      <alignment horizontal="center" wrapText="1"/>
    </xf>
    <xf numFmtId="0" fontId="0" fillId="0" borderId="17" xfId="0" applyBorder="1" applyAlignment="1"/>
    <xf numFmtId="165" fontId="0" fillId="0" borderId="17" xfId="0" applyNumberFormat="1" applyBorder="1"/>
    <xf numFmtId="0" fontId="4" fillId="0" borderId="16" xfId="1" applyFill="1" applyBorder="1"/>
    <xf numFmtId="0" fontId="0" fillId="0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4" fillId="2" borderId="19" xfId="1" applyBorder="1"/>
    <xf numFmtId="0" fontId="4" fillId="2" borderId="20" xfId="1" applyBorder="1"/>
    <xf numFmtId="0" fontId="0" fillId="0" borderId="18" xfId="0" applyBorder="1"/>
    <xf numFmtId="0" fontId="0" fillId="0" borderId="18" xfId="0" applyBorder="1" applyAlignment="1">
      <alignment horizontal="center" wrapText="1"/>
    </xf>
    <xf numFmtId="0" fontId="4" fillId="2" borderId="17" xfId="1" applyBorder="1"/>
    <xf numFmtId="164" fontId="4" fillId="2" borderId="17" xfId="1" applyNumberFormat="1" applyBorder="1"/>
    <xf numFmtId="44" fontId="4" fillId="2" borderId="18" xfId="1" applyNumberFormat="1" applyBorder="1"/>
    <xf numFmtId="164" fontId="0" fillId="0" borderId="17" xfId="0" applyNumberFormat="1" applyBorder="1"/>
    <xf numFmtId="0" fontId="0" fillId="0" borderId="19" xfId="0" applyBorder="1"/>
    <xf numFmtId="0" fontId="0" fillId="0" borderId="20" xfId="0" applyBorder="1"/>
    <xf numFmtId="165" fontId="0" fillId="0" borderId="20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13" xfId="0" applyBorder="1"/>
    <xf numFmtId="0" fontId="0" fillId="0" borderId="15" xfId="0" applyBorder="1" applyAlignment="1">
      <alignment horizontal="center" wrapText="1"/>
    </xf>
    <xf numFmtId="44" fontId="4" fillId="2" borderId="16" xfId="1" applyNumberFormat="1" applyBorder="1"/>
    <xf numFmtId="44" fontId="4" fillId="2" borderId="17" xfId="1" applyNumberFormat="1" applyBorder="1"/>
    <xf numFmtId="49" fontId="0" fillId="0" borderId="16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6" xfId="0" applyNumberFormat="1" applyBorder="1"/>
    <xf numFmtId="0" fontId="0" fillId="0" borderId="21" xfId="0" applyBorder="1"/>
    <xf numFmtId="164" fontId="15" fillId="2" borderId="20" xfId="1" applyNumberFormat="1" applyFont="1" applyBorder="1" applyAlignment="1">
      <alignment horizontal="center"/>
    </xf>
    <xf numFmtId="44" fontId="15" fillId="2" borderId="2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164" fontId="0" fillId="0" borderId="28" xfId="0" applyNumberFormat="1" applyBorder="1"/>
    <xf numFmtId="49" fontId="0" fillId="0" borderId="28" xfId="0" applyNumberFormat="1" applyBorder="1" applyAlignment="1">
      <alignment horizontal="center"/>
    </xf>
    <xf numFmtId="164" fontId="17" fillId="7" borderId="28" xfId="0" applyNumberFormat="1" applyFont="1" applyFill="1" applyBorder="1"/>
    <xf numFmtId="0" fontId="8" fillId="7" borderId="28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vertical="center"/>
    </xf>
    <xf numFmtId="164" fontId="0" fillId="8" borderId="29" xfId="0" applyNumberFormat="1" applyFill="1" applyBorder="1"/>
    <xf numFmtId="164" fontId="0" fillId="8" borderId="28" xfId="0" applyNumberFormat="1" applyFill="1" applyBorder="1"/>
    <xf numFmtId="165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0" fillId="0" borderId="0" xfId="0" applyFill="1"/>
    <xf numFmtId="164" fontId="0" fillId="0" borderId="0" xfId="0" applyNumberFormat="1" applyBorder="1" applyAlignment="1">
      <alignment horizontal="center"/>
    </xf>
    <xf numFmtId="8" fontId="3" fillId="0" borderId="0" xfId="0" applyNumberFormat="1" applyFont="1" applyBorder="1" applyAlignment="1">
      <alignment horizontal="right"/>
    </xf>
    <xf numFmtId="164" fontId="4" fillId="2" borderId="0" xfId="1" applyNumberForma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4" fillId="2" borderId="19" xfId="1" applyBorder="1" applyAlignment="1">
      <alignment horizontal="center"/>
    </xf>
    <xf numFmtId="0" fontId="4" fillId="2" borderId="20" xfId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4" fillId="2" borderId="19" xfId="1" applyNumberFormat="1" applyBorder="1" applyAlignment="1">
      <alignment horizontal="center"/>
    </xf>
    <xf numFmtId="44" fontId="4" fillId="2" borderId="20" xfId="1" applyNumberFormat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17" fillId="8" borderId="28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5" fontId="17" fillId="7" borderId="31" xfId="0" applyNumberFormat="1" applyFont="1" applyFill="1" applyBorder="1" applyAlignment="1">
      <alignment horizontal="center"/>
    </xf>
    <xf numFmtId="165" fontId="17" fillId="7" borderId="30" xfId="0" applyNumberFormat="1" applyFont="1" applyFill="1" applyBorder="1" applyAlignment="1">
      <alignment horizontal="center"/>
    </xf>
    <xf numFmtId="165" fontId="17" fillId="7" borderId="32" xfId="0" applyNumberFormat="1" applyFont="1" applyFill="1" applyBorder="1" applyAlignment="1">
      <alignment horizontal="center"/>
    </xf>
    <xf numFmtId="165" fontId="17" fillId="8" borderId="31" xfId="0" applyNumberFormat="1" applyFont="1" applyFill="1" applyBorder="1" applyAlignment="1">
      <alignment horizontal="center"/>
    </xf>
    <xf numFmtId="165" fontId="17" fillId="8" borderId="30" xfId="0" applyNumberFormat="1" applyFont="1" applyFill="1" applyBorder="1" applyAlignment="1">
      <alignment horizontal="center"/>
    </xf>
    <xf numFmtId="165" fontId="17" fillId="8" borderId="32" xfId="0" applyNumberFormat="1" applyFont="1" applyFill="1" applyBorder="1" applyAlignment="1">
      <alignment horizontal="center"/>
    </xf>
  </cellXfs>
  <cellStyles count="3">
    <cellStyle name="Avertissement" xfId="2" builtinId="11"/>
    <cellStyle name="Normal" xfId="0" builtinId="0"/>
    <cellStyle name="Satisfaisant" xfId="1" builtinId="2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B8" sqref="B8"/>
    </sheetView>
  </sheetViews>
  <sheetFormatPr baseColWidth="10" defaultRowHeight="15"/>
  <cols>
    <col min="2" max="2" width="63.85546875" bestFit="1" customWidth="1"/>
    <col min="3" max="3" width="19.28515625" bestFit="1" customWidth="1"/>
    <col min="4" max="4" width="16.140625" bestFit="1" customWidth="1"/>
    <col min="5" max="5" width="14.140625" bestFit="1" customWidth="1"/>
  </cols>
  <sheetData>
    <row r="2" spans="1:6" ht="30">
      <c r="C2" s="53" t="s">
        <v>81</v>
      </c>
      <c r="D2" s="53" t="s">
        <v>80</v>
      </c>
      <c r="E2" s="53" t="s">
        <v>82</v>
      </c>
      <c r="F2" s="53" t="s">
        <v>79</v>
      </c>
    </row>
    <row r="3" spans="1:6">
      <c r="A3" s="50" t="s">
        <v>83</v>
      </c>
      <c r="B3" t="s">
        <v>73</v>
      </c>
      <c r="C3" s="51">
        <v>72917.5</v>
      </c>
      <c r="D3" s="51">
        <v>109549.01</v>
      </c>
      <c r="E3" s="51">
        <v>45645.42</v>
      </c>
      <c r="F3" s="51">
        <v>17970.419999999998</v>
      </c>
    </row>
    <row r="4" spans="1:6">
      <c r="A4" s="50" t="s">
        <v>83</v>
      </c>
      <c r="B4" t="s">
        <v>74</v>
      </c>
      <c r="C4" s="51">
        <v>13233.94</v>
      </c>
      <c r="D4" s="51">
        <v>13233.94</v>
      </c>
      <c r="E4" s="51">
        <v>13233.94</v>
      </c>
    </row>
    <row r="5" spans="1:6">
      <c r="A5" s="50" t="s">
        <v>84</v>
      </c>
      <c r="B5" t="s">
        <v>75</v>
      </c>
      <c r="C5" s="51">
        <v>31417.75</v>
      </c>
    </row>
    <row r="6" spans="1:6">
      <c r="A6" s="50" t="s">
        <v>83</v>
      </c>
      <c r="B6" t="s">
        <v>76</v>
      </c>
      <c r="C6" s="51">
        <v>63000</v>
      </c>
      <c r="D6" s="51">
        <v>49727.98</v>
      </c>
      <c r="E6" s="51">
        <v>43511.98</v>
      </c>
      <c r="F6" s="51">
        <v>8157.38</v>
      </c>
    </row>
    <row r="7" spans="1:6">
      <c r="A7" s="50" t="s">
        <v>84</v>
      </c>
      <c r="B7" t="s">
        <v>77</v>
      </c>
      <c r="C7" s="51">
        <v>0</v>
      </c>
      <c r="D7" s="51">
        <v>0</v>
      </c>
      <c r="E7" s="51">
        <v>0</v>
      </c>
    </row>
    <row r="8" spans="1:6">
      <c r="A8" s="50" t="s">
        <v>84</v>
      </c>
      <c r="B8" t="s">
        <v>78</v>
      </c>
      <c r="C8" s="51">
        <v>45216.75</v>
      </c>
    </row>
    <row r="9" spans="1:6">
      <c r="C9" s="51">
        <f>SUM(C3:C8)</f>
        <v>225785.94</v>
      </c>
      <c r="D9" s="51">
        <f>SUM(D3:D8)</f>
        <v>172510.93</v>
      </c>
      <c r="E9" s="52">
        <f>SUM(E3:E8)</f>
        <v>102391.34</v>
      </c>
      <c r="F9" s="51">
        <f>SUM(F3:F8)</f>
        <v>26127.8</v>
      </c>
    </row>
    <row r="12" spans="1:6">
      <c r="C12" s="51">
        <f>C5+C8</f>
        <v>76634.5</v>
      </c>
      <c r="E12" s="51">
        <f>E3+E4</f>
        <v>58879.360000000001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A5" sqref="A5:G26"/>
    </sheetView>
  </sheetViews>
  <sheetFormatPr baseColWidth="10" defaultRowHeight="15"/>
  <cols>
    <col min="1" max="2" width="11.42578125" style="54"/>
    <col min="3" max="3" width="20.85546875" style="54" bestFit="1" customWidth="1"/>
    <col min="4" max="4" width="27.28515625" customWidth="1"/>
    <col min="5" max="5" width="28" bestFit="1" customWidth="1"/>
    <col min="6" max="7" width="16" bestFit="1" customWidth="1"/>
  </cols>
  <sheetData>
    <row r="1" spans="1:7" ht="18.75">
      <c r="A1" s="179" t="s">
        <v>189</v>
      </c>
      <c r="B1" s="179"/>
      <c r="C1" s="179"/>
      <c r="D1" s="179"/>
      <c r="E1" s="179"/>
      <c r="F1" s="179"/>
      <c r="G1" s="179"/>
    </row>
    <row r="2" spans="1:7" s="50" customFormat="1" ht="18.75">
      <c r="A2" s="180" t="s">
        <v>194</v>
      </c>
      <c r="B2" s="180"/>
      <c r="C2" s="180"/>
      <c r="D2" s="180"/>
      <c r="E2" s="180"/>
      <c r="F2" s="180"/>
      <c r="G2" s="180"/>
    </row>
    <row r="4" spans="1:7" ht="26.25" customHeight="1">
      <c r="A4" s="140" t="s">
        <v>177</v>
      </c>
      <c r="B4" s="140" t="s">
        <v>178</v>
      </c>
      <c r="C4" s="140" t="s">
        <v>138</v>
      </c>
      <c r="D4" s="141" t="s">
        <v>179</v>
      </c>
      <c r="E4" s="140" t="s">
        <v>180</v>
      </c>
      <c r="F4" s="140" t="s">
        <v>181</v>
      </c>
      <c r="G4" s="140" t="s">
        <v>182</v>
      </c>
    </row>
    <row r="5" spans="1:7" s="50" customFormat="1" ht="15" customHeight="1">
      <c r="A5" s="134">
        <v>44175</v>
      </c>
      <c r="B5" s="135">
        <v>646</v>
      </c>
      <c r="C5" s="135" t="s">
        <v>147</v>
      </c>
      <c r="D5" s="136" t="s">
        <v>41</v>
      </c>
      <c r="E5" s="136" t="s">
        <v>109</v>
      </c>
      <c r="F5" s="137">
        <v>3744</v>
      </c>
      <c r="G5" s="137">
        <v>3120</v>
      </c>
    </row>
    <row r="6" spans="1:7" s="50" customFormat="1" ht="15" customHeight="1">
      <c r="A6" s="134">
        <v>44245</v>
      </c>
      <c r="B6" s="135">
        <v>132</v>
      </c>
      <c r="C6" s="135" t="s">
        <v>148</v>
      </c>
      <c r="D6" s="136" t="s">
        <v>41</v>
      </c>
      <c r="E6" s="136" t="s">
        <v>109</v>
      </c>
      <c r="F6" s="137">
        <v>936</v>
      </c>
      <c r="G6" s="137">
        <v>780</v>
      </c>
    </row>
    <row r="7" spans="1:7" s="50" customFormat="1" ht="15" customHeight="1">
      <c r="A7" s="134">
        <v>44453</v>
      </c>
      <c r="B7" s="135">
        <v>553</v>
      </c>
      <c r="C7" s="135" t="s">
        <v>149</v>
      </c>
      <c r="D7" s="136" t="s">
        <v>42</v>
      </c>
      <c r="E7" s="136" t="s">
        <v>109</v>
      </c>
      <c r="F7" s="137">
        <v>1575</v>
      </c>
      <c r="G7" s="137">
        <v>1312.5</v>
      </c>
    </row>
    <row r="8" spans="1:7" s="50" customFormat="1" ht="15" customHeight="1">
      <c r="A8" s="134">
        <v>44489</v>
      </c>
      <c r="B8" s="135">
        <v>615</v>
      </c>
      <c r="C8" s="135" t="s">
        <v>156</v>
      </c>
      <c r="D8" s="136" t="s">
        <v>41</v>
      </c>
      <c r="E8" s="136" t="s">
        <v>110</v>
      </c>
      <c r="F8" s="137">
        <v>1260</v>
      </c>
      <c r="G8" s="137">
        <v>1050</v>
      </c>
    </row>
    <row r="9" spans="1:7" s="50" customFormat="1" ht="15" customHeight="1">
      <c r="A9" s="134">
        <v>44489</v>
      </c>
      <c r="B9" s="135">
        <v>615</v>
      </c>
      <c r="C9" s="135" t="s">
        <v>156</v>
      </c>
      <c r="D9" s="136" t="s">
        <v>42</v>
      </c>
      <c r="E9" s="136" t="s">
        <v>110</v>
      </c>
      <c r="F9" s="137">
        <v>1500</v>
      </c>
      <c r="G9" s="137">
        <v>1250</v>
      </c>
    </row>
    <row r="10" spans="1:7" s="50" customFormat="1" ht="15" customHeight="1">
      <c r="A10" s="134">
        <v>44508</v>
      </c>
      <c r="B10" s="135">
        <v>634</v>
      </c>
      <c r="C10" s="135" t="s">
        <v>150</v>
      </c>
      <c r="D10" s="136" t="s">
        <v>42</v>
      </c>
      <c r="E10" s="136" t="s">
        <v>109</v>
      </c>
      <c r="F10" s="137">
        <v>3675</v>
      </c>
      <c r="G10" s="137">
        <v>3062.5</v>
      </c>
    </row>
    <row r="11" spans="1:7" s="50" customFormat="1" ht="15" customHeight="1">
      <c r="A11" s="134">
        <v>44631</v>
      </c>
      <c r="B11" s="135">
        <v>181</v>
      </c>
      <c r="C11" s="135" t="s">
        <v>151</v>
      </c>
      <c r="D11" s="136" t="s">
        <v>43</v>
      </c>
      <c r="E11" s="136" t="s">
        <v>109</v>
      </c>
      <c r="F11" s="137">
        <v>1530</v>
      </c>
      <c r="G11" s="137">
        <v>1275</v>
      </c>
    </row>
    <row r="12" spans="1:7" s="50" customFormat="1" ht="15" customHeight="1">
      <c r="A12" s="134">
        <v>44666</v>
      </c>
      <c r="B12" s="135">
        <v>256</v>
      </c>
      <c r="C12" s="135" t="s">
        <v>157</v>
      </c>
      <c r="D12" s="136" t="s">
        <v>43</v>
      </c>
      <c r="E12" s="136" t="s">
        <v>110</v>
      </c>
      <c r="F12" s="137">
        <v>900</v>
      </c>
      <c r="G12" s="137">
        <v>750</v>
      </c>
    </row>
    <row r="13" spans="1:7" s="50" customFormat="1" ht="15" customHeight="1">
      <c r="A13" s="134">
        <v>44795</v>
      </c>
      <c r="B13" s="135">
        <v>499</v>
      </c>
      <c r="C13" s="135" t="s">
        <v>152</v>
      </c>
      <c r="D13" s="136" t="s">
        <v>44</v>
      </c>
      <c r="E13" s="136" t="s">
        <v>109</v>
      </c>
      <c r="F13" s="137">
        <v>2486.6999999999998</v>
      </c>
      <c r="G13" s="137">
        <v>2072.25</v>
      </c>
    </row>
    <row r="14" spans="1:7" s="50" customFormat="1" ht="15" customHeight="1">
      <c r="A14" s="134">
        <v>44845</v>
      </c>
      <c r="B14" s="135">
        <v>611</v>
      </c>
      <c r="C14" s="135" t="s">
        <v>153</v>
      </c>
      <c r="D14" s="136" t="s">
        <v>44</v>
      </c>
      <c r="E14" s="136" t="s">
        <v>109</v>
      </c>
      <c r="F14" s="137">
        <v>3039.3</v>
      </c>
      <c r="G14" s="137">
        <v>2532.75</v>
      </c>
    </row>
    <row r="15" spans="1:7" ht="15" customHeight="1">
      <c r="A15" s="134">
        <v>44875</v>
      </c>
      <c r="B15" s="135">
        <v>660</v>
      </c>
      <c r="C15" s="135" t="s">
        <v>190</v>
      </c>
      <c r="D15" s="136" t="s">
        <v>183</v>
      </c>
      <c r="E15" s="136" t="s">
        <v>5</v>
      </c>
      <c r="F15" s="137">
        <v>72438.080000000002</v>
      </c>
      <c r="G15" s="137">
        <v>54063.98</v>
      </c>
    </row>
    <row r="16" spans="1:7" s="50" customFormat="1" ht="15" customHeight="1">
      <c r="A16" s="134">
        <v>44875</v>
      </c>
      <c r="B16" s="135">
        <v>661</v>
      </c>
      <c r="C16" s="138" t="s">
        <v>142</v>
      </c>
      <c r="D16" s="136" t="s">
        <v>185</v>
      </c>
      <c r="E16" s="136" t="s">
        <v>25</v>
      </c>
      <c r="F16" s="137">
        <v>2976</v>
      </c>
      <c r="G16" s="137">
        <v>2976</v>
      </c>
    </row>
    <row r="17" spans="1:10" s="50" customFormat="1" ht="15" customHeight="1">
      <c r="A17" s="134">
        <v>44875</v>
      </c>
      <c r="B17" s="135">
        <v>662</v>
      </c>
      <c r="C17" s="135" t="s">
        <v>146</v>
      </c>
      <c r="D17" s="136" t="s">
        <v>188</v>
      </c>
      <c r="E17" s="136" t="s">
        <v>52</v>
      </c>
      <c r="F17" s="137">
        <v>3949</v>
      </c>
      <c r="G17" s="137">
        <v>3949</v>
      </c>
    </row>
    <row r="18" spans="1:10" ht="15" customHeight="1">
      <c r="A18" s="134">
        <v>44935</v>
      </c>
      <c r="B18" s="135">
        <v>47</v>
      </c>
      <c r="C18" s="135" t="s">
        <v>191</v>
      </c>
      <c r="D18" s="136" t="s">
        <v>184</v>
      </c>
      <c r="E18" s="136" t="s">
        <v>5</v>
      </c>
      <c r="F18" s="137">
        <v>55945.120000000003</v>
      </c>
      <c r="G18" s="137">
        <v>43686.12</v>
      </c>
    </row>
    <row r="19" spans="1:10" s="50" customFormat="1" ht="15" customHeight="1">
      <c r="A19" s="134">
        <v>44935</v>
      </c>
      <c r="B19" s="135">
        <v>48</v>
      </c>
      <c r="C19" s="135" t="s">
        <v>143</v>
      </c>
      <c r="D19" s="136" t="s">
        <v>186</v>
      </c>
      <c r="E19" s="136" t="s">
        <v>1</v>
      </c>
      <c r="F19" s="137">
        <v>17608.88</v>
      </c>
      <c r="G19" s="137">
        <v>17608.88</v>
      </c>
    </row>
    <row r="20" spans="1:10" s="50" customFormat="1" ht="15" customHeight="1">
      <c r="A20" s="134">
        <v>44935</v>
      </c>
      <c r="B20" s="135">
        <v>49</v>
      </c>
      <c r="C20" s="135" t="s">
        <v>154</v>
      </c>
      <c r="D20" s="136" t="s">
        <v>44</v>
      </c>
      <c r="E20" s="136" t="s">
        <v>109</v>
      </c>
      <c r="F20" s="137">
        <v>2302.5</v>
      </c>
      <c r="G20" s="137">
        <v>1918.75</v>
      </c>
    </row>
    <row r="21" spans="1:10" s="50" customFormat="1" ht="15" customHeight="1">
      <c r="A21" s="134">
        <v>44950</v>
      </c>
      <c r="B21" s="135">
        <v>82</v>
      </c>
      <c r="C21" s="135" t="s">
        <v>199</v>
      </c>
      <c r="D21" s="136" t="s">
        <v>187</v>
      </c>
      <c r="E21" s="136" t="s">
        <v>95</v>
      </c>
      <c r="F21" s="137">
        <v>30977.65</v>
      </c>
      <c r="G21" s="137">
        <v>25814.71</v>
      </c>
    </row>
    <row r="22" spans="1:10" s="50" customFormat="1" ht="15" customHeight="1">
      <c r="A22" s="134">
        <v>44957</v>
      </c>
      <c r="B22" s="135">
        <v>94</v>
      </c>
      <c r="C22" s="135" t="s">
        <v>158</v>
      </c>
      <c r="D22" s="136" t="s">
        <v>44</v>
      </c>
      <c r="E22" s="136" t="s">
        <v>110</v>
      </c>
      <c r="F22" s="137">
        <v>1860</v>
      </c>
      <c r="G22" s="137">
        <v>1550</v>
      </c>
    </row>
    <row r="23" spans="1:10" s="50" customFormat="1" ht="15" customHeight="1">
      <c r="A23" s="134">
        <v>44966</v>
      </c>
      <c r="B23" s="135">
        <v>125</v>
      </c>
      <c r="C23" s="135" t="s">
        <v>155</v>
      </c>
      <c r="D23" s="136" t="s">
        <v>44</v>
      </c>
      <c r="E23" s="136" t="s">
        <v>109</v>
      </c>
      <c r="F23" s="137">
        <v>1381.5</v>
      </c>
      <c r="G23" s="137">
        <v>1151.25</v>
      </c>
    </row>
    <row r="24" spans="1:10" ht="15" customHeight="1">
      <c r="A24" s="134">
        <v>45168</v>
      </c>
      <c r="B24" s="135">
        <v>508</v>
      </c>
      <c r="C24" s="135" t="s">
        <v>144</v>
      </c>
      <c r="D24" s="136" t="s">
        <v>128</v>
      </c>
      <c r="E24" s="136" t="s">
        <v>1</v>
      </c>
      <c r="F24" s="137">
        <v>3945.5</v>
      </c>
      <c r="G24" s="137">
        <v>3945.5</v>
      </c>
    </row>
    <row r="25" spans="1:10" ht="15" customHeight="1">
      <c r="A25" s="134">
        <v>45168</v>
      </c>
      <c r="B25" s="135">
        <v>508</v>
      </c>
      <c r="C25" s="135" t="s">
        <v>145</v>
      </c>
      <c r="D25" s="136" t="s">
        <v>128</v>
      </c>
      <c r="E25" s="136" t="s">
        <v>1</v>
      </c>
      <c r="F25" s="137">
        <v>2267.9</v>
      </c>
      <c r="G25" s="137">
        <v>2267.9</v>
      </c>
    </row>
    <row r="26" spans="1:10" ht="15" customHeight="1">
      <c r="A26" s="134">
        <v>45168</v>
      </c>
      <c r="B26" s="135">
        <v>509</v>
      </c>
      <c r="C26" s="135">
        <v>6000203121</v>
      </c>
      <c r="D26" s="136" t="s">
        <v>128</v>
      </c>
      <c r="E26" s="136" t="s">
        <v>5</v>
      </c>
      <c r="F26" s="137">
        <v>40584.160000000003</v>
      </c>
      <c r="G26" s="137">
        <v>38997.97</v>
      </c>
      <c r="J26" s="50"/>
    </row>
    <row r="27" spans="1:10" ht="15" customHeight="1">
      <c r="A27" s="181" t="s">
        <v>55</v>
      </c>
      <c r="B27" s="181"/>
      <c r="C27" s="181"/>
      <c r="D27" s="181"/>
      <c r="E27" s="181"/>
      <c r="F27" s="143">
        <f>SUM(F5:F26)</f>
        <v>256882.29</v>
      </c>
      <c r="G27" s="137">
        <f>SUM(G5:G26)</f>
        <v>215135.06</v>
      </c>
      <c r="H27" s="27"/>
      <c r="J27" s="50"/>
    </row>
    <row r="28" spans="1:10" s="50" customFormat="1" ht="15" customHeight="1">
      <c r="A28" s="187" t="s">
        <v>197</v>
      </c>
      <c r="B28" s="188"/>
      <c r="C28" s="188"/>
      <c r="D28" s="188"/>
      <c r="E28" s="189"/>
      <c r="F28" s="143">
        <f>G28*1.2</f>
        <v>-112360.2</v>
      </c>
      <c r="G28" s="142">
        <v>-93633.5</v>
      </c>
      <c r="H28" s="27"/>
    </row>
    <row r="29" spans="1:10" ht="18.75">
      <c r="A29" s="184" t="s">
        <v>198</v>
      </c>
      <c r="B29" s="185"/>
      <c r="C29" s="185"/>
      <c r="D29" s="185"/>
      <c r="E29" s="186"/>
      <c r="F29" s="139">
        <f>F27+F28</f>
        <v>144522.09000000003</v>
      </c>
      <c r="G29" s="139">
        <f>G27+G28</f>
        <v>121501.56</v>
      </c>
    </row>
    <row r="30" spans="1:10" s="146" customFormat="1" ht="18.75">
      <c r="A30" s="144"/>
      <c r="B30" s="144"/>
      <c r="C30" s="144"/>
      <c r="D30" s="144"/>
      <c r="E30" s="144"/>
      <c r="F30" s="145"/>
      <c r="G30" s="145"/>
    </row>
    <row r="31" spans="1:10">
      <c r="A31" s="182" t="s">
        <v>192</v>
      </c>
      <c r="B31" s="182"/>
      <c r="C31" s="182"/>
      <c r="E31" s="27"/>
      <c r="F31" s="183" t="s">
        <v>193</v>
      </c>
      <c r="G31" s="183"/>
    </row>
    <row r="32" spans="1:10">
      <c r="A32" s="133"/>
      <c r="F32" s="27"/>
      <c r="G32" s="27"/>
    </row>
    <row r="33" spans="1:7">
      <c r="A33" s="133"/>
      <c r="F33" s="27"/>
      <c r="G33" s="27"/>
    </row>
    <row r="34" spans="1:7">
      <c r="A34" s="133"/>
      <c r="F34" s="27"/>
      <c r="G34" s="27"/>
    </row>
    <row r="35" spans="1:7">
      <c r="A35" s="133"/>
      <c r="F35" s="27"/>
      <c r="G35" s="27"/>
    </row>
    <row r="36" spans="1:7">
      <c r="A36" s="133"/>
      <c r="F36" s="27"/>
      <c r="G36" s="27"/>
    </row>
    <row r="37" spans="1:7">
      <c r="A37" s="133"/>
      <c r="D37" s="27"/>
      <c r="F37" s="27"/>
      <c r="G37" s="27"/>
    </row>
    <row r="38" spans="1:7">
      <c r="A38" s="133"/>
      <c r="F38" s="27"/>
      <c r="G38" s="27"/>
    </row>
    <row r="39" spans="1:7">
      <c r="A39" s="133"/>
      <c r="F39" s="27"/>
      <c r="G39" s="27"/>
    </row>
    <row r="40" spans="1:7">
      <c r="A40" s="133"/>
      <c r="F40" s="27"/>
      <c r="G40" s="27"/>
    </row>
    <row r="41" spans="1:7">
      <c r="A41" s="133"/>
      <c r="F41" s="27"/>
      <c r="G41" s="27"/>
    </row>
    <row r="42" spans="1:7">
      <c r="A42" s="133"/>
      <c r="F42" s="27"/>
      <c r="G42" s="27"/>
    </row>
    <row r="43" spans="1:7">
      <c r="F43" s="27"/>
      <c r="G43" s="27"/>
    </row>
    <row r="44" spans="1:7">
      <c r="F44" s="27"/>
      <c r="G44" s="27"/>
    </row>
  </sheetData>
  <mergeCells count="7">
    <mergeCell ref="A1:G1"/>
    <mergeCell ref="A2:G2"/>
    <mergeCell ref="A27:E27"/>
    <mergeCell ref="A31:C31"/>
    <mergeCell ref="F31:G31"/>
    <mergeCell ref="A29:E29"/>
    <mergeCell ref="A28:E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H28" sqref="H28"/>
    </sheetView>
  </sheetViews>
  <sheetFormatPr baseColWidth="10" defaultRowHeight="15"/>
  <cols>
    <col min="1" max="2" width="11.42578125" style="54"/>
    <col min="3" max="3" width="20.85546875" style="54" bestFit="1" customWidth="1"/>
    <col min="4" max="4" width="15.140625" style="50" bestFit="1" customWidth="1"/>
    <col min="5" max="5" width="18.5703125" style="50" bestFit="1" customWidth="1"/>
    <col min="6" max="7" width="16" style="50" bestFit="1" customWidth="1"/>
    <col min="8" max="16384" width="11.42578125" style="50"/>
  </cols>
  <sheetData>
    <row r="1" spans="1:7" ht="18.75">
      <c r="A1" s="179" t="s">
        <v>195</v>
      </c>
      <c r="B1" s="179"/>
      <c r="C1" s="179"/>
      <c r="D1" s="179"/>
      <c r="E1" s="179"/>
      <c r="F1" s="179"/>
      <c r="G1" s="179"/>
    </row>
    <row r="2" spans="1:7" ht="18.75">
      <c r="A2" s="180" t="s">
        <v>194</v>
      </c>
      <c r="B2" s="180"/>
      <c r="C2" s="180"/>
      <c r="D2" s="180"/>
      <c r="E2" s="180"/>
      <c r="F2" s="180"/>
      <c r="G2" s="180"/>
    </row>
    <row r="4" spans="1:7" ht="26.25" customHeight="1">
      <c r="A4" s="140" t="s">
        <v>177</v>
      </c>
      <c r="B4" s="140" t="s">
        <v>178</v>
      </c>
      <c r="C4" s="140" t="s">
        <v>138</v>
      </c>
      <c r="D4" s="141" t="s">
        <v>179</v>
      </c>
      <c r="E4" s="140" t="s">
        <v>180</v>
      </c>
      <c r="F4" s="140" t="s">
        <v>181</v>
      </c>
      <c r="G4" s="140" t="s">
        <v>182</v>
      </c>
    </row>
    <row r="5" spans="1:7" ht="15" customHeight="1">
      <c r="A5" s="134">
        <v>44704</v>
      </c>
      <c r="B5" s="135">
        <v>305</v>
      </c>
      <c r="C5" s="135"/>
      <c r="D5" s="136" t="s">
        <v>26</v>
      </c>
      <c r="E5" s="136" t="s">
        <v>5</v>
      </c>
      <c r="F5" s="137">
        <v>30881.52</v>
      </c>
      <c r="G5" s="137">
        <v>25734.6</v>
      </c>
    </row>
    <row r="6" spans="1:7" ht="15" customHeight="1">
      <c r="A6" s="134">
        <v>44704</v>
      </c>
      <c r="B6" s="135">
        <v>340</v>
      </c>
      <c r="C6" s="135" t="s">
        <v>196</v>
      </c>
      <c r="D6" s="136" t="s">
        <v>188</v>
      </c>
      <c r="E6" s="136" t="s">
        <v>5</v>
      </c>
      <c r="F6" s="137">
        <v>70656</v>
      </c>
      <c r="G6" s="137">
        <v>58880</v>
      </c>
    </row>
    <row r="7" spans="1:7" ht="15" customHeight="1">
      <c r="A7" s="134">
        <v>44736</v>
      </c>
      <c r="B7" s="135">
        <v>383</v>
      </c>
      <c r="C7" s="135" t="s">
        <v>200</v>
      </c>
      <c r="D7" s="136" t="s">
        <v>186</v>
      </c>
      <c r="E7" s="136" t="s">
        <v>5</v>
      </c>
      <c r="F7" s="137">
        <v>53617.9</v>
      </c>
      <c r="G7" s="137">
        <v>43633.7</v>
      </c>
    </row>
    <row r="8" spans="1:7" ht="15" customHeight="1">
      <c r="A8" s="134">
        <v>44736</v>
      </c>
      <c r="B8" s="135">
        <v>384</v>
      </c>
      <c r="C8" s="138" t="s">
        <v>173</v>
      </c>
      <c r="D8" s="136" t="s">
        <v>210</v>
      </c>
      <c r="E8" s="136" t="s">
        <v>25</v>
      </c>
      <c r="F8" s="137">
        <v>6287.3</v>
      </c>
      <c r="G8" s="137">
        <v>6287.3</v>
      </c>
    </row>
    <row r="9" spans="1:7" ht="15" customHeight="1">
      <c r="A9" s="134">
        <v>44795</v>
      </c>
      <c r="B9" s="135">
        <v>488</v>
      </c>
      <c r="C9" s="138" t="s">
        <v>171</v>
      </c>
      <c r="D9" s="136" t="s">
        <v>186</v>
      </c>
      <c r="E9" s="136" t="s">
        <v>25</v>
      </c>
      <c r="F9" s="137">
        <v>2820.6</v>
      </c>
      <c r="G9" s="137">
        <v>2820.6</v>
      </c>
    </row>
    <row r="10" spans="1:7" ht="15" customHeight="1">
      <c r="A10" s="134">
        <v>44795</v>
      </c>
      <c r="B10" s="135">
        <v>489</v>
      </c>
      <c r="C10" s="138" t="s">
        <v>170</v>
      </c>
      <c r="D10" s="136" t="s">
        <v>187</v>
      </c>
      <c r="E10" s="136" t="s">
        <v>25</v>
      </c>
      <c r="F10" s="137">
        <v>6812</v>
      </c>
      <c r="G10" s="137">
        <v>6812</v>
      </c>
    </row>
    <row r="11" spans="1:7" ht="15" customHeight="1">
      <c r="A11" s="134">
        <v>44795</v>
      </c>
      <c r="B11" s="135">
        <v>490</v>
      </c>
      <c r="C11" s="138" t="s">
        <v>172</v>
      </c>
      <c r="D11" s="136" t="s">
        <v>188</v>
      </c>
      <c r="E11" s="136" t="s">
        <v>1</v>
      </c>
      <c r="F11" s="137">
        <v>1110</v>
      </c>
      <c r="G11" s="137">
        <v>1110</v>
      </c>
    </row>
    <row r="12" spans="1:7" ht="15" customHeight="1">
      <c r="A12" s="134">
        <v>44796</v>
      </c>
      <c r="B12" s="135">
        <v>500</v>
      </c>
      <c r="C12" s="135" t="s">
        <v>201</v>
      </c>
      <c r="D12" s="136" t="s">
        <v>187</v>
      </c>
      <c r="E12" s="136" t="s">
        <v>5</v>
      </c>
      <c r="F12" s="137">
        <v>63565.8</v>
      </c>
      <c r="G12" s="137">
        <v>52316.4</v>
      </c>
    </row>
    <row r="13" spans="1:7" ht="15" customHeight="1">
      <c r="A13" s="134">
        <v>44796</v>
      </c>
      <c r="B13" s="135">
        <v>501</v>
      </c>
      <c r="C13" s="135" t="s">
        <v>202</v>
      </c>
      <c r="D13" s="136" t="s">
        <v>185</v>
      </c>
      <c r="E13" s="136" t="s">
        <v>5</v>
      </c>
      <c r="F13" s="137">
        <v>63130</v>
      </c>
      <c r="G13" s="137">
        <v>51473</v>
      </c>
    </row>
    <row r="14" spans="1:7" ht="15" customHeight="1">
      <c r="A14" s="134">
        <v>44820</v>
      </c>
      <c r="B14" s="135">
        <v>548</v>
      </c>
      <c r="C14" s="135" t="s">
        <v>203</v>
      </c>
      <c r="D14" s="136" t="s">
        <v>204</v>
      </c>
      <c r="E14" s="136" t="s">
        <v>5</v>
      </c>
      <c r="F14" s="137">
        <v>47460</v>
      </c>
      <c r="G14" s="137">
        <v>39550</v>
      </c>
    </row>
    <row r="15" spans="1:7" ht="15" customHeight="1">
      <c r="A15" s="134">
        <v>44820</v>
      </c>
      <c r="B15" s="135">
        <v>549</v>
      </c>
      <c r="C15" s="135" t="s">
        <v>205</v>
      </c>
      <c r="D15" s="136" t="s">
        <v>53</v>
      </c>
      <c r="E15" s="136" t="s">
        <v>5</v>
      </c>
      <c r="F15" s="137">
        <v>18044.240000000002</v>
      </c>
      <c r="G15" s="137">
        <v>15036.87</v>
      </c>
    </row>
    <row r="16" spans="1:7" ht="15" customHeight="1">
      <c r="A16" s="134">
        <v>44840</v>
      </c>
      <c r="B16" s="135">
        <v>591</v>
      </c>
      <c r="C16" s="135" t="s">
        <v>206</v>
      </c>
      <c r="D16" s="136" t="s">
        <v>207</v>
      </c>
      <c r="E16" s="136" t="s">
        <v>5</v>
      </c>
      <c r="F16" s="137">
        <v>130417.2</v>
      </c>
      <c r="G16" s="137">
        <v>108681</v>
      </c>
    </row>
    <row r="17" spans="1:7" ht="15" customHeight="1">
      <c r="A17" s="134">
        <v>44840</v>
      </c>
      <c r="B17" s="135">
        <v>591</v>
      </c>
      <c r="C17" s="135" t="s">
        <v>208</v>
      </c>
      <c r="D17" s="136" t="s">
        <v>207</v>
      </c>
      <c r="E17" s="136" t="s">
        <v>5</v>
      </c>
      <c r="F17" s="137">
        <v>11737.55</v>
      </c>
      <c r="G17" s="137">
        <v>9781.2900000000009</v>
      </c>
    </row>
    <row r="18" spans="1:7" ht="15" customHeight="1">
      <c r="A18" s="134">
        <v>45168</v>
      </c>
      <c r="B18" s="135">
        <v>509</v>
      </c>
      <c r="C18" s="135"/>
      <c r="D18" s="136" t="s">
        <v>209</v>
      </c>
      <c r="E18" s="136" t="s">
        <v>5</v>
      </c>
      <c r="F18" s="137">
        <v>22800</v>
      </c>
      <c r="G18" s="137">
        <v>19000</v>
      </c>
    </row>
    <row r="19" spans="1:7" ht="15" customHeight="1">
      <c r="A19" s="134"/>
      <c r="B19" s="135"/>
      <c r="C19" s="135"/>
      <c r="D19" s="136"/>
      <c r="E19" s="136"/>
      <c r="F19" s="137"/>
      <c r="G19" s="137"/>
    </row>
    <row r="20" spans="1:7" ht="15" customHeight="1">
      <c r="A20" s="134"/>
      <c r="B20" s="135"/>
      <c r="C20" s="135"/>
      <c r="D20" s="136"/>
      <c r="E20" s="136"/>
      <c r="F20" s="137"/>
      <c r="G20" s="137"/>
    </row>
    <row r="21" spans="1:7" ht="15" customHeight="1">
      <c r="A21" s="184" t="s">
        <v>55</v>
      </c>
      <c r="B21" s="185"/>
      <c r="C21" s="185"/>
      <c r="D21" s="185"/>
      <c r="E21" s="186"/>
      <c r="F21" s="139">
        <f>SUM(F5:F20)</f>
        <v>529340.11</v>
      </c>
      <c r="G21" s="139">
        <f>SUM(G5:G20)</f>
        <v>441116.75999999995</v>
      </c>
    </row>
    <row r="22" spans="1:7">
      <c r="A22" s="133"/>
      <c r="F22" s="27"/>
      <c r="G22" s="27"/>
    </row>
    <row r="23" spans="1:7">
      <c r="A23" s="182" t="s">
        <v>192</v>
      </c>
      <c r="B23" s="182"/>
      <c r="C23" s="182"/>
      <c r="F23" s="183" t="s">
        <v>193</v>
      </c>
      <c r="G23" s="183"/>
    </row>
    <row r="24" spans="1:7">
      <c r="A24" s="133"/>
      <c r="F24" s="27"/>
      <c r="G24" s="27"/>
    </row>
    <row r="25" spans="1:7">
      <c r="A25" s="133"/>
      <c r="F25" s="27"/>
      <c r="G25" s="27"/>
    </row>
    <row r="26" spans="1:7">
      <c r="A26" s="133"/>
      <c r="F26" s="27"/>
      <c r="G26" s="27"/>
    </row>
    <row r="27" spans="1:7">
      <c r="A27" s="133"/>
      <c r="F27" s="27"/>
      <c r="G27" s="27"/>
    </row>
    <row r="28" spans="1:7">
      <c r="A28" s="133"/>
      <c r="F28" s="27"/>
      <c r="G28" s="27"/>
    </row>
    <row r="29" spans="1:7">
      <c r="A29" s="133"/>
      <c r="F29" s="27"/>
      <c r="G29" s="27"/>
    </row>
    <row r="30" spans="1:7">
      <c r="A30" s="133"/>
      <c r="F30" s="27"/>
      <c r="G30" s="27"/>
    </row>
    <row r="31" spans="1:7">
      <c r="A31" s="133"/>
      <c r="F31" s="27"/>
      <c r="G31" s="27"/>
    </row>
    <row r="32" spans="1:7">
      <c r="A32" s="133"/>
      <c r="F32" s="27"/>
      <c r="G32" s="27"/>
    </row>
    <row r="33" spans="1:7">
      <c r="A33" s="133"/>
      <c r="F33" s="27"/>
      <c r="G33" s="27"/>
    </row>
    <row r="34" spans="1:7">
      <c r="A34" s="133"/>
      <c r="F34" s="27"/>
      <c r="G34" s="27"/>
    </row>
    <row r="35" spans="1:7">
      <c r="F35" s="27"/>
      <c r="G35" s="27"/>
    </row>
    <row r="36" spans="1:7">
      <c r="F36" s="27"/>
      <c r="G36" s="27"/>
    </row>
  </sheetData>
  <mergeCells count="5">
    <mergeCell ref="A1:G1"/>
    <mergeCell ref="A2:G2"/>
    <mergeCell ref="A21:E21"/>
    <mergeCell ref="A23:C23"/>
    <mergeCell ref="F23:G23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activeCell="I31" sqref="I31"/>
    </sheetView>
  </sheetViews>
  <sheetFormatPr baseColWidth="10" defaultRowHeight="15"/>
  <cols>
    <col min="1" max="2" width="11.42578125" style="54"/>
    <col min="3" max="3" width="20.85546875" style="54" bestFit="1" customWidth="1"/>
    <col min="4" max="4" width="27.28515625" style="50" customWidth="1"/>
    <col min="5" max="5" width="28" style="50" bestFit="1" customWidth="1"/>
    <col min="6" max="7" width="16" style="50" bestFit="1" customWidth="1"/>
    <col min="8" max="16384" width="11.42578125" style="50"/>
  </cols>
  <sheetData>
    <row r="1" spans="1:7" ht="18.75">
      <c r="A1" s="179" t="s">
        <v>189</v>
      </c>
      <c r="B1" s="179"/>
      <c r="C1" s="179"/>
      <c r="D1" s="179"/>
      <c r="E1" s="179"/>
      <c r="F1" s="179"/>
      <c r="G1" s="179"/>
    </row>
    <row r="2" spans="1:7" ht="18.75">
      <c r="A2" s="180" t="s">
        <v>194</v>
      </c>
      <c r="B2" s="180"/>
      <c r="C2" s="180"/>
      <c r="D2" s="180"/>
      <c r="E2" s="180"/>
      <c r="F2" s="180"/>
      <c r="G2" s="180"/>
    </row>
    <row r="3" spans="1:7" ht="18.75">
      <c r="A3" s="150"/>
      <c r="B3" s="150"/>
      <c r="C3" s="150"/>
      <c r="D3" s="150"/>
      <c r="E3" s="150"/>
      <c r="F3" s="150"/>
      <c r="G3" s="150"/>
    </row>
    <row r="4" spans="1:7" ht="15.75">
      <c r="A4" s="140" t="s">
        <v>177</v>
      </c>
      <c r="B4" s="140" t="s">
        <v>178</v>
      </c>
      <c r="C4" s="140" t="s">
        <v>138</v>
      </c>
      <c r="D4" s="141" t="s">
        <v>179</v>
      </c>
      <c r="E4" s="140" t="s">
        <v>180</v>
      </c>
      <c r="F4" s="140" t="s">
        <v>181</v>
      </c>
      <c r="G4" s="140" t="s">
        <v>182</v>
      </c>
    </row>
    <row r="5" spans="1:7">
      <c r="A5" s="134">
        <v>44175</v>
      </c>
      <c r="B5" s="135">
        <v>646</v>
      </c>
      <c r="C5" s="135" t="s">
        <v>147</v>
      </c>
      <c r="D5" s="136" t="s">
        <v>41</v>
      </c>
      <c r="E5" s="136" t="s">
        <v>109</v>
      </c>
      <c r="F5" s="137">
        <v>3744</v>
      </c>
      <c r="G5" s="137">
        <v>3120</v>
      </c>
    </row>
    <row r="6" spans="1:7">
      <c r="A6" s="134">
        <v>44245</v>
      </c>
      <c r="B6" s="135">
        <v>132</v>
      </c>
      <c r="C6" s="135" t="s">
        <v>148</v>
      </c>
      <c r="D6" s="136" t="s">
        <v>41</v>
      </c>
      <c r="E6" s="136" t="s">
        <v>109</v>
      </c>
      <c r="F6" s="137">
        <v>936</v>
      </c>
      <c r="G6" s="137">
        <v>780</v>
      </c>
    </row>
    <row r="7" spans="1:7">
      <c r="A7" s="134">
        <v>44453</v>
      </c>
      <c r="B7" s="135">
        <v>553</v>
      </c>
      <c r="C7" s="135" t="s">
        <v>149</v>
      </c>
      <c r="D7" s="136" t="s">
        <v>42</v>
      </c>
      <c r="E7" s="136" t="s">
        <v>109</v>
      </c>
      <c r="F7" s="137">
        <v>1575</v>
      </c>
      <c r="G7" s="137">
        <v>1312.5</v>
      </c>
    </row>
    <row r="8" spans="1:7">
      <c r="A8" s="134">
        <v>44489</v>
      </c>
      <c r="B8" s="135">
        <v>615</v>
      </c>
      <c r="C8" s="135" t="s">
        <v>156</v>
      </c>
      <c r="D8" s="136" t="s">
        <v>41</v>
      </c>
      <c r="E8" s="136" t="s">
        <v>110</v>
      </c>
      <c r="F8" s="137">
        <v>1260</v>
      </c>
      <c r="G8" s="137">
        <v>1050</v>
      </c>
    </row>
    <row r="9" spans="1:7">
      <c r="A9" s="134">
        <v>44489</v>
      </c>
      <c r="B9" s="135">
        <v>615</v>
      </c>
      <c r="C9" s="135" t="s">
        <v>156</v>
      </c>
      <c r="D9" s="136" t="s">
        <v>42</v>
      </c>
      <c r="E9" s="136" t="s">
        <v>110</v>
      </c>
      <c r="F9" s="137">
        <v>1500</v>
      </c>
      <c r="G9" s="137">
        <v>1250</v>
      </c>
    </row>
    <row r="10" spans="1:7">
      <c r="A10" s="134">
        <v>44508</v>
      </c>
      <c r="B10" s="135">
        <v>634</v>
      </c>
      <c r="C10" s="135" t="s">
        <v>150</v>
      </c>
      <c r="D10" s="136" t="s">
        <v>42</v>
      </c>
      <c r="E10" s="136" t="s">
        <v>109</v>
      </c>
      <c r="F10" s="137">
        <v>3675</v>
      </c>
      <c r="G10" s="137">
        <v>3062.5</v>
      </c>
    </row>
    <row r="11" spans="1:7">
      <c r="A11" s="134">
        <v>44631</v>
      </c>
      <c r="B11" s="135">
        <v>181</v>
      </c>
      <c r="C11" s="135" t="s">
        <v>151</v>
      </c>
      <c r="D11" s="136" t="s">
        <v>43</v>
      </c>
      <c r="E11" s="136" t="s">
        <v>109</v>
      </c>
      <c r="F11" s="137">
        <v>1530</v>
      </c>
      <c r="G11" s="137">
        <v>1275</v>
      </c>
    </row>
    <row r="12" spans="1:7">
      <c r="A12" s="134">
        <v>44666</v>
      </c>
      <c r="B12" s="135">
        <v>256</v>
      </c>
      <c r="C12" s="135" t="s">
        <v>157</v>
      </c>
      <c r="D12" s="136" t="s">
        <v>43</v>
      </c>
      <c r="E12" s="136" t="s">
        <v>110</v>
      </c>
      <c r="F12" s="137">
        <v>900</v>
      </c>
      <c r="G12" s="137">
        <v>750</v>
      </c>
    </row>
    <row r="13" spans="1:7">
      <c r="A13" s="134">
        <v>44795</v>
      </c>
      <c r="B13" s="135">
        <v>499</v>
      </c>
      <c r="C13" s="135" t="s">
        <v>152</v>
      </c>
      <c r="D13" s="136" t="s">
        <v>44</v>
      </c>
      <c r="E13" s="136" t="s">
        <v>109</v>
      </c>
      <c r="F13" s="137">
        <v>2486.6999999999998</v>
      </c>
      <c r="G13" s="137">
        <v>2072.25</v>
      </c>
    </row>
    <row r="14" spans="1:7">
      <c r="A14" s="134">
        <v>44845</v>
      </c>
      <c r="B14" s="135">
        <v>611</v>
      </c>
      <c r="C14" s="135" t="s">
        <v>153</v>
      </c>
      <c r="D14" s="136" t="s">
        <v>44</v>
      </c>
      <c r="E14" s="136" t="s">
        <v>109</v>
      </c>
      <c r="F14" s="137">
        <v>3039.3</v>
      </c>
      <c r="G14" s="137">
        <v>2532.75</v>
      </c>
    </row>
    <row r="15" spans="1:7">
      <c r="A15" s="134">
        <v>44875</v>
      </c>
      <c r="B15" s="135">
        <v>660</v>
      </c>
      <c r="C15" s="135" t="s">
        <v>190</v>
      </c>
      <c r="D15" s="136" t="s">
        <v>183</v>
      </c>
      <c r="E15" s="136" t="s">
        <v>5</v>
      </c>
      <c r="F15" s="137">
        <v>72438.080000000002</v>
      </c>
      <c r="G15" s="137">
        <v>54063.98</v>
      </c>
    </row>
    <row r="16" spans="1:7">
      <c r="A16" s="134">
        <v>44875</v>
      </c>
      <c r="B16" s="135">
        <v>661</v>
      </c>
      <c r="C16" s="138" t="s">
        <v>142</v>
      </c>
      <c r="D16" s="136" t="s">
        <v>185</v>
      </c>
      <c r="E16" s="136" t="s">
        <v>25</v>
      </c>
      <c r="F16" s="137">
        <v>2976</v>
      </c>
      <c r="G16" s="137">
        <v>2976</v>
      </c>
    </row>
    <row r="17" spans="1:9" ht="15" customHeight="1">
      <c r="A17" s="134">
        <v>44875</v>
      </c>
      <c r="B17" s="135">
        <v>662</v>
      </c>
      <c r="C17" s="135" t="s">
        <v>146</v>
      </c>
      <c r="D17" s="136" t="s">
        <v>188</v>
      </c>
      <c r="E17" s="136" t="s">
        <v>52</v>
      </c>
      <c r="F17" s="137">
        <v>3949</v>
      </c>
      <c r="G17" s="137">
        <v>3949</v>
      </c>
    </row>
    <row r="18" spans="1:9" ht="15" customHeight="1">
      <c r="A18" s="134">
        <v>44935</v>
      </c>
      <c r="B18" s="135">
        <v>47</v>
      </c>
      <c r="C18" s="135" t="s">
        <v>191</v>
      </c>
      <c r="D18" s="136" t="s">
        <v>184</v>
      </c>
      <c r="E18" s="136" t="s">
        <v>5</v>
      </c>
      <c r="F18" s="137">
        <v>55945.120000000003</v>
      </c>
      <c r="G18" s="137">
        <v>43686.12</v>
      </c>
    </row>
    <row r="19" spans="1:9" ht="15" customHeight="1">
      <c r="A19" s="134">
        <v>44935</v>
      </c>
      <c r="B19" s="135">
        <v>48</v>
      </c>
      <c r="C19" s="135" t="s">
        <v>143</v>
      </c>
      <c r="D19" s="136" t="s">
        <v>186</v>
      </c>
      <c r="E19" s="136" t="s">
        <v>1</v>
      </c>
      <c r="F19" s="137">
        <v>17608.88</v>
      </c>
      <c r="G19" s="137">
        <v>17608.88</v>
      </c>
    </row>
    <row r="20" spans="1:9" ht="15" customHeight="1">
      <c r="A20" s="134">
        <v>44935</v>
      </c>
      <c r="B20" s="135">
        <v>49</v>
      </c>
      <c r="C20" s="135" t="s">
        <v>154</v>
      </c>
      <c r="D20" s="136" t="s">
        <v>44</v>
      </c>
      <c r="E20" s="136" t="s">
        <v>109</v>
      </c>
      <c r="F20" s="137">
        <v>2302.5</v>
      </c>
      <c r="G20" s="137">
        <v>1918.75</v>
      </c>
    </row>
    <row r="21" spans="1:9" ht="15" customHeight="1">
      <c r="A21" s="134">
        <v>44950</v>
      </c>
      <c r="B21" s="135">
        <v>82</v>
      </c>
      <c r="C21" s="135" t="s">
        <v>199</v>
      </c>
      <c r="D21" s="136" t="s">
        <v>187</v>
      </c>
      <c r="E21" s="136" t="s">
        <v>95</v>
      </c>
      <c r="F21" s="137">
        <v>30977.65</v>
      </c>
      <c r="G21" s="137">
        <v>25814.71</v>
      </c>
    </row>
    <row r="22" spans="1:9" ht="15" customHeight="1">
      <c r="A22" s="134">
        <v>44957</v>
      </c>
      <c r="B22" s="135">
        <v>94</v>
      </c>
      <c r="C22" s="135" t="s">
        <v>158</v>
      </c>
      <c r="D22" s="136" t="s">
        <v>44</v>
      </c>
      <c r="E22" s="136" t="s">
        <v>110</v>
      </c>
      <c r="F22" s="137">
        <v>1860</v>
      </c>
      <c r="G22" s="137">
        <v>1550</v>
      </c>
    </row>
    <row r="23" spans="1:9" ht="15" customHeight="1">
      <c r="A23" s="134">
        <v>44966</v>
      </c>
      <c r="B23" s="135">
        <v>125</v>
      </c>
      <c r="C23" s="135" t="s">
        <v>155</v>
      </c>
      <c r="D23" s="136" t="s">
        <v>44</v>
      </c>
      <c r="E23" s="136" t="s">
        <v>109</v>
      </c>
      <c r="F23" s="137">
        <v>1381.5</v>
      </c>
      <c r="G23" s="137">
        <v>1151.25</v>
      </c>
    </row>
    <row r="24" spans="1:9" ht="15" customHeight="1">
      <c r="A24" s="134">
        <v>45168</v>
      </c>
      <c r="B24" s="135">
        <v>508</v>
      </c>
      <c r="C24" s="135" t="s">
        <v>144</v>
      </c>
      <c r="D24" s="136" t="s">
        <v>128</v>
      </c>
      <c r="E24" s="136" t="s">
        <v>1</v>
      </c>
      <c r="F24" s="137">
        <v>3945.5</v>
      </c>
      <c r="G24" s="137">
        <v>3945.5</v>
      </c>
    </row>
    <row r="25" spans="1:9" ht="15" customHeight="1">
      <c r="A25" s="134">
        <v>45168</v>
      </c>
      <c r="B25" s="135">
        <v>508</v>
      </c>
      <c r="C25" s="135" t="s">
        <v>145</v>
      </c>
      <c r="D25" s="136" t="s">
        <v>128</v>
      </c>
      <c r="E25" s="136" t="s">
        <v>1</v>
      </c>
      <c r="F25" s="137">
        <v>2267.9</v>
      </c>
      <c r="G25" s="137">
        <v>2267.9</v>
      </c>
    </row>
    <row r="26" spans="1:9" ht="15" customHeight="1">
      <c r="A26" s="134">
        <v>45168</v>
      </c>
      <c r="B26" s="135">
        <v>509</v>
      </c>
      <c r="C26" s="135">
        <v>6000203121</v>
      </c>
      <c r="D26" s="136" t="s">
        <v>128</v>
      </c>
      <c r="E26" s="136" t="s">
        <v>5</v>
      </c>
      <c r="F26" s="137">
        <v>40584.160000000003</v>
      </c>
      <c r="G26" s="137">
        <v>38997.97</v>
      </c>
    </row>
    <row r="27" spans="1:9" ht="15" customHeight="1">
      <c r="A27" s="134">
        <v>45260</v>
      </c>
      <c r="B27" s="135">
        <v>708</v>
      </c>
      <c r="C27" s="135" t="s">
        <v>216</v>
      </c>
      <c r="D27" s="136"/>
      <c r="E27" s="136" t="s">
        <v>110</v>
      </c>
      <c r="F27" s="137">
        <v>360</v>
      </c>
      <c r="G27" s="137">
        <v>300</v>
      </c>
      <c r="I27" s="27"/>
    </row>
    <row r="28" spans="1:9" ht="15" customHeight="1">
      <c r="A28" s="134">
        <v>45257</v>
      </c>
      <c r="B28" s="135">
        <v>746</v>
      </c>
      <c r="C28" s="135"/>
      <c r="D28" s="136" t="s">
        <v>128</v>
      </c>
      <c r="E28" s="136" t="s">
        <v>95</v>
      </c>
      <c r="F28" s="137">
        <v>16926.46</v>
      </c>
      <c r="G28" s="137">
        <v>14105.38</v>
      </c>
    </row>
    <row r="29" spans="1:9" ht="15" customHeight="1">
      <c r="A29" s="134">
        <v>45243</v>
      </c>
      <c r="B29" s="135">
        <v>702</v>
      </c>
      <c r="C29" s="135" t="s">
        <v>213</v>
      </c>
      <c r="D29" s="136"/>
      <c r="E29" s="136" t="s">
        <v>95</v>
      </c>
      <c r="F29" s="137">
        <v>1174.32</v>
      </c>
      <c r="G29" s="137">
        <v>978.6</v>
      </c>
      <c r="H29" s="27"/>
    </row>
    <row r="30" spans="1:9" ht="15" customHeight="1">
      <c r="A30" s="134"/>
      <c r="B30" s="135"/>
      <c r="C30" s="135"/>
      <c r="D30" s="136"/>
      <c r="E30" s="136"/>
      <c r="F30" s="137"/>
      <c r="G30" s="137"/>
      <c r="I30" s="27">
        <f>G27+G28+G29</f>
        <v>15383.98</v>
      </c>
    </row>
    <row r="31" spans="1:9" ht="15" customHeight="1">
      <c r="A31" s="181" t="s">
        <v>55</v>
      </c>
      <c r="B31" s="181"/>
      <c r="C31" s="181"/>
      <c r="D31" s="181"/>
      <c r="E31" s="181"/>
      <c r="F31" s="143">
        <f>SUM(F5:F30)</f>
        <v>275343.07</v>
      </c>
      <c r="G31" s="137">
        <f>SUM(G5:G30)</f>
        <v>230519.04000000001</v>
      </c>
      <c r="H31" s="27"/>
    </row>
    <row r="32" spans="1:9" ht="15" customHeight="1">
      <c r="A32" s="187" t="s">
        <v>197</v>
      </c>
      <c r="B32" s="188"/>
      <c r="C32" s="188"/>
      <c r="D32" s="188"/>
      <c r="E32" s="189"/>
      <c r="F32" s="143">
        <f>G32*1.2</f>
        <v>-112360.2</v>
      </c>
      <c r="G32" s="142">
        <v>-93633.5</v>
      </c>
      <c r="H32" s="27"/>
    </row>
    <row r="33" spans="1:7" ht="18.75">
      <c r="A33" s="184" t="s">
        <v>198</v>
      </c>
      <c r="B33" s="185"/>
      <c r="C33" s="185"/>
      <c r="D33" s="185"/>
      <c r="E33" s="186"/>
      <c r="F33" s="139">
        <f>F31+F32</f>
        <v>162982.87</v>
      </c>
      <c r="G33" s="139">
        <f>G31+G32</f>
        <v>136885.54</v>
      </c>
    </row>
    <row r="34" spans="1:7" ht="18.75">
      <c r="A34" s="144"/>
      <c r="B34" s="144"/>
      <c r="C34" s="144"/>
      <c r="D34" s="144"/>
      <c r="E34" s="144"/>
      <c r="F34" s="145"/>
      <c r="G34" s="145"/>
    </row>
    <row r="35" spans="1:7">
      <c r="A35" s="182" t="s">
        <v>192</v>
      </c>
      <c r="B35" s="182"/>
      <c r="C35" s="182"/>
      <c r="E35" s="27"/>
      <c r="F35" s="183" t="s">
        <v>193</v>
      </c>
      <c r="G35" s="183"/>
    </row>
    <row r="36" spans="1:7">
      <c r="A36" s="133"/>
      <c r="F36" s="27"/>
      <c r="G36" s="27"/>
    </row>
    <row r="37" spans="1:7">
      <c r="A37" s="133"/>
      <c r="F37" s="27"/>
      <c r="G37" s="27"/>
    </row>
    <row r="38" spans="1:7">
      <c r="A38" s="133"/>
      <c r="F38" s="27"/>
      <c r="G38" s="27"/>
    </row>
    <row r="39" spans="1:7">
      <c r="A39" s="133"/>
      <c r="F39" s="27"/>
      <c r="G39" s="27"/>
    </row>
    <row r="40" spans="1:7">
      <c r="A40" s="133"/>
      <c r="F40" s="27"/>
      <c r="G40" s="27"/>
    </row>
    <row r="41" spans="1:7">
      <c r="A41" s="133"/>
      <c r="D41" s="27"/>
      <c r="F41" s="27"/>
      <c r="G41" s="27"/>
    </row>
    <row r="42" spans="1:7">
      <c r="A42" s="133"/>
      <c r="F42" s="27"/>
      <c r="G42" s="27"/>
    </row>
    <row r="43" spans="1:7">
      <c r="A43" s="133"/>
      <c r="F43" s="27"/>
      <c r="G43" s="27"/>
    </row>
    <row r="44" spans="1:7">
      <c r="A44" s="133"/>
      <c r="F44" s="27"/>
      <c r="G44" s="27"/>
    </row>
    <row r="45" spans="1:7">
      <c r="A45" s="133"/>
      <c r="F45" s="27"/>
      <c r="G45" s="27"/>
    </row>
    <row r="46" spans="1:7">
      <c r="A46" s="133"/>
      <c r="F46" s="27"/>
      <c r="G46" s="27"/>
    </row>
    <row r="47" spans="1:7">
      <c r="F47" s="27"/>
      <c r="G47" s="27"/>
    </row>
    <row r="48" spans="1:7">
      <c r="F48" s="27"/>
      <c r="G48" s="27"/>
    </row>
  </sheetData>
  <mergeCells count="7">
    <mergeCell ref="A35:C35"/>
    <mergeCell ref="F35:G35"/>
    <mergeCell ref="A1:G1"/>
    <mergeCell ref="A2:G2"/>
    <mergeCell ref="A31:E31"/>
    <mergeCell ref="A32:E32"/>
    <mergeCell ref="A33:E33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C19" sqref="C19"/>
    </sheetView>
  </sheetViews>
  <sheetFormatPr baseColWidth="10" defaultRowHeight="15"/>
  <cols>
    <col min="1" max="1" width="18.42578125" bestFit="1" customWidth="1"/>
    <col min="2" max="2" width="12.85546875" bestFit="1" customWidth="1"/>
    <col min="3" max="3" width="10.85546875" bestFit="1" customWidth="1"/>
    <col min="4" max="4" width="12.85546875" bestFit="1" customWidth="1"/>
    <col min="5" max="5" width="15.5703125" customWidth="1"/>
    <col min="6" max="6" width="17.28515625" customWidth="1"/>
    <col min="7" max="7" width="18.42578125" bestFit="1" customWidth="1"/>
    <col min="8" max="8" width="12.85546875" bestFit="1" customWidth="1"/>
    <col min="9" max="10" width="11.85546875" bestFit="1" customWidth="1"/>
    <col min="11" max="11" width="13.28515625" bestFit="1" customWidth="1"/>
    <col min="14" max="14" width="10.85546875" bestFit="1" customWidth="1"/>
  </cols>
  <sheetData>
    <row r="1" spans="1:14" ht="2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3" spans="1:14">
      <c r="B3" s="1" t="s">
        <v>3</v>
      </c>
      <c r="C3" s="1"/>
      <c r="D3" s="1" t="s">
        <v>4</v>
      </c>
      <c r="E3" s="1"/>
      <c r="I3" s="1" t="s">
        <v>3</v>
      </c>
      <c r="J3" s="1" t="s">
        <v>4</v>
      </c>
    </row>
    <row r="4" spans="1:14" ht="15.75" thickBot="1">
      <c r="A4" t="s">
        <v>2</v>
      </c>
      <c r="B4" s="21">
        <v>17600</v>
      </c>
      <c r="C4" s="21"/>
      <c r="D4" s="18">
        <f>B4*1.2</f>
        <v>21120</v>
      </c>
      <c r="E4" s="18"/>
      <c r="G4" t="s">
        <v>2</v>
      </c>
      <c r="H4" s="21"/>
      <c r="I4" s="27">
        <f>G9+G11+G13+G14+G18</f>
        <v>4900</v>
      </c>
      <c r="J4" s="27">
        <f>I4*1.2</f>
        <v>5880</v>
      </c>
    </row>
    <row r="5" spans="1:14">
      <c r="A5" s="2"/>
      <c r="B5" s="152" t="s">
        <v>49</v>
      </c>
      <c r="C5" s="152"/>
      <c r="D5" s="152"/>
      <c r="E5" s="152"/>
      <c r="F5" s="153"/>
      <c r="G5" s="2"/>
      <c r="H5" s="152" t="s">
        <v>50</v>
      </c>
      <c r="I5" s="152"/>
      <c r="J5" s="153"/>
      <c r="K5" s="2"/>
      <c r="L5" s="152"/>
      <c r="M5" s="152"/>
      <c r="N5" s="153"/>
    </row>
    <row r="6" spans="1:14" ht="18.75">
      <c r="A6" s="3"/>
      <c r="B6" s="19" t="s">
        <v>3</v>
      </c>
      <c r="C6" s="19" t="s">
        <v>21</v>
      </c>
      <c r="D6" s="19"/>
      <c r="E6" s="19" t="s">
        <v>3</v>
      </c>
      <c r="F6" s="20" t="s">
        <v>4</v>
      </c>
      <c r="G6" s="60" t="s">
        <v>3</v>
      </c>
      <c r="H6" s="19" t="s">
        <v>21</v>
      </c>
      <c r="I6" s="19" t="s">
        <v>3</v>
      </c>
      <c r="J6" s="20" t="s">
        <v>4</v>
      </c>
      <c r="K6" s="3"/>
      <c r="L6" s="19" t="s">
        <v>21</v>
      </c>
      <c r="M6" s="19" t="s">
        <v>3</v>
      </c>
      <c r="N6" s="20" t="s">
        <v>4</v>
      </c>
    </row>
    <row r="7" spans="1:14">
      <c r="A7" s="6" t="s">
        <v>6</v>
      </c>
      <c r="B7" s="7"/>
      <c r="C7" s="7"/>
      <c r="D7" s="8"/>
      <c r="E7" s="32">
        <f>SUM(E9:E21)</f>
        <v>17600</v>
      </c>
      <c r="F7" s="33">
        <f>SUM(F9:F21)</f>
        <v>21120</v>
      </c>
      <c r="G7" s="6" t="s">
        <v>6</v>
      </c>
      <c r="H7" s="7"/>
      <c r="I7" s="32">
        <f>SUM(I9:I21)</f>
        <v>4900</v>
      </c>
      <c r="J7" s="33">
        <f>SUM(J9:J21)</f>
        <v>5880</v>
      </c>
      <c r="K7" s="6" t="s">
        <v>6</v>
      </c>
      <c r="L7" s="7"/>
      <c r="M7" s="8">
        <f>SUM(M9:M28)</f>
        <v>0</v>
      </c>
      <c r="N7" s="9">
        <f>SUM(N9:N28)</f>
        <v>0</v>
      </c>
    </row>
    <row r="8" spans="1:14" ht="9" customHeight="1">
      <c r="A8" s="10"/>
      <c r="B8" s="11"/>
      <c r="C8" s="11"/>
      <c r="D8" s="11"/>
      <c r="E8" s="11"/>
      <c r="F8" s="12"/>
      <c r="G8" s="10"/>
      <c r="H8" s="11"/>
      <c r="I8" s="11"/>
      <c r="J8" s="12"/>
      <c r="K8" s="10"/>
      <c r="L8" s="11"/>
      <c r="M8" s="11"/>
      <c r="N8" s="12"/>
    </row>
    <row r="9" spans="1:14">
      <c r="A9" s="3" t="s">
        <v>41</v>
      </c>
      <c r="B9" s="21">
        <v>3900</v>
      </c>
      <c r="C9" s="25">
        <v>44175</v>
      </c>
      <c r="D9" s="30">
        <v>0.8</v>
      </c>
      <c r="E9" s="21">
        <f>B9*0.8</f>
        <v>3120</v>
      </c>
      <c r="F9" s="22">
        <f t="shared" ref="F9:F15" si="0">E9*1.2</f>
        <v>3744</v>
      </c>
      <c r="G9" s="21">
        <v>1050</v>
      </c>
      <c r="H9" s="25">
        <v>44489</v>
      </c>
      <c r="I9" s="21">
        <v>1050</v>
      </c>
      <c r="J9" s="21">
        <f>I9*1.2</f>
        <v>1260</v>
      </c>
      <c r="K9" s="3" t="s">
        <v>7</v>
      </c>
      <c r="L9" s="29"/>
      <c r="M9" s="21"/>
      <c r="N9" s="22"/>
    </row>
    <row r="10" spans="1:14">
      <c r="A10" s="3"/>
      <c r="B10" s="25"/>
      <c r="C10" s="25">
        <v>44245</v>
      </c>
      <c r="D10" s="30">
        <v>0.2</v>
      </c>
      <c r="E10" s="21">
        <f>B9*0.2</f>
        <v>780</v>
      </c>
      <c r="F10" s="22">
        <f t="shared" si="0"/>
        <v>936</v>
      </c>
      <c r="G10" s="3"/>
      <c r="H10" s="25"/>
      <c r="I10" s="21"/>
      <c r="J10" s="21"/>
      <c r="K10" s="3"/>
      <c r="L10" s="29"/>
      <c r="M10" s="21"/>
      <c r="N10" s="22"/>
    </row>
    <row r="11" spans="1:14">
      <c r="A11" s="3" t="s">
        <v>42</v>
      </c>
      <c r="B11" s="21">
        <v>4375</v>
      </c>
      <c r="C11" s="25">
        <v>44453</v>
      </c>
      <c r="D11" s="28">
        <v>0.3</v>
      </c>
      <c r="E11" s="27">
        <f>B11*0.3</f>
        <v>1312.5</v>
      </c>
      <c r="F11" s="22">
        <f t="shared" si="0"/>
        <v>1575</v>
      </c>
      <c r="G11" s="21">
        <v>1250</v>
      </c>
      <c r="H11" s="25">
        <v>44489</v>
      </c>
      <c r="I11" s="21">
        <v>1250</v>
      </c>
      <c r="J11" s="21">
        <f>I11*1.2</f>
        <v>1500</v>
      </c>
      <c r="K11" s="3" t="s">
        <v>8</v>
      </c>
      <c r="L11" s="4"/>
      <c r="M11" s="4"/>
      <c r="N11" s="13"/>
    </row>
    <row r="12" spans="1:14">
      <c r="A12" s="3"/>
      <c r="B12" s="21"/>
      <c r="C12" s="25">
        <v>44508</v>
      </c>
      <c r="D12" s="28">
        <v>0.7</v>
      </c>
      <c r="E12" s="27">
        <f>B11*0.7</f>
        <v>3062.5</v>
      </c>
      <c r="F12" s="22">
        <f t="shared" si="0"/>
        <v>3675</v>
      </c>
      <c r="G12" s="3"/>
      <c r="H12" s="25"/>
      <c r="I12" s="21"/>
      <c r="J12" s="21"/>
      <c r="K12" s="3"/>
      <c r="L12" s="4"/>
      <c r="M12" s="4"/>
      <c r="N12" s="13"/>
    </row>
    <row r="13" spans="1:14">
      <c r="A13" s="3" t="s">
        <v>43</v>
      </c>
      <c r="B13" s="21">
        <v>1275</v>
      </c>
      <c r="C13" s="25">
        <v>44631</v>
      </c>
      <c r="D13" s="28">
        <v>1</v>
      </c>
      <c r="E13" s="21">
        <f>B13*1</f>
        <v>1275</v>
      </c>
      <c r="F13" s="22">
        <f t="shared" si="0"/>
        <v>1530</v>
      </c>
      <c r="G13" s="21">
        <v>750</v>
      </c>
      <c r="H13" s="25">
        <v>44666</v>
      </c>
      <c r="I13" s="21">
        <v>750</v>
      </c>
      <c r="J13" s="21">
        <f>I13*1.2</f>
        <v>900</v>
      </c>
      <c r="K13" s="3"/>
      <c r="L13" s="4"/>
      <c r="M13" s="4"/>
      <c r="N13" s="13"/>
    </row>
    <row r="14" spans="1:14">
      <c r="A14" s="3" t="s">
        <v>44</v>
      </c>
      <c r="B14" s="21">
        <v>7675</v>
      </c>
      <c r="C14" s="25">
        <v>44795</v>
      </c>
      <c r="D14" s="28">
        <v>0.27</v>
      </c>
      <c r="E14" s="21">
        <f>B14*0.27</f>
        <v>2072.25</v>
      </c>
      <c r="F14" s="22">
        <f t="shared" si="0"/>
        <v>2486.6999999999998</v>
      </c>
      <c r="G14" s="21">
        <v>1550</v>
      </c>
      <c r="H14" s="25">
        <v>44957</v>
      </c>
      <c r="I14" s="21">
        <v>1550</v>
      </c>
      <c r="J14" s="21">
        <f>I14*1.2</f>
        <v>1860</v>
      </c>
      <c r="K14" s="3"/>
      <c r="L14" s="4"/>
      <c r="M14" s="4"/>
      <c r="N14" s="13"/>
    </row>
    <row r="15" spans="1:14">
      <c r="A15" s="3"/>
      <c r="B15" s="21"/>
      <c r="C15" s="25">
        <v>44845</v>
      </c>
      <c r="D15" s="28">
        <v>0.33</v>
      </c>
      <c r="E15" s="21">
        <f>B14*D15</f>
        <v>2532.75</v>
      </c>
      <c r="F15" s="22">
        <f t="shared" si="0"/>
        <v>3039.2999999999997</v>
      </c>
      <c r="G15" s="3"/>
      <c r="H15" s="25"/>
      <c r="I15" s="21"/>
      <c r="J15" s="21"/>
      <c r="K15" s="3"/>
      <c r="L15" s="4"/>
      <c r="M15" s="4"/>
      <c r="N15" s="13"/>
    </row>
    <row r="16" spans="1:14" s="50" customFormat="1">
      <c r="A16" s="3"/>
      <c r="B16" s="21"/>
      <c r="C16" s="25">
        <v>44935</v>
      </c>
      <c r="D16" s="28">
        <v>0.25</v>
      </c>
      <c r="E16" s="21">
        <f>F16/1.2</f>
        <v>1918.75</v>
      </c>
      <c r="F16" s="22">
        <v>2302.5</v>
      </c>
      <c r="G16" s="4"/>
      <c r="H16" s="25"/>
      <c r="I16" s="21"/>
      <c r="J16" s="21"/>
      <c r="K16" s="3"/>
      <c r="L16" s="4"/>
      <c r="M16" s="4"/>
      <c r="N16" s="13"/>
    </row>
    <row r="17" spans="1:14" s="50" customFormat="1">
      <c r="A17" s="3"/>
      <c r="B17" s="21"/>
      <c r="C17" s="25">
        <v>44966</v>
      </c>
      <c r="D17" s="28">
        <v>0.15</v>
      </c>
      <c r="E17" s="21">
        <v>1151.25</v>
      </c>
      <c r="F17" s="22">
        <v>1381.5</v>
      </c>
      <c r="G17" s="4"/>
      <c r="H17" s="25"/>
      <c r="I17" s="21"/>
      <c r="J17" s="21"/>
      <c r="K17" s="3"/>
      <c r="L17" s="4"/>
      <c r="M17" s="4"/>
      <c r="N17" s="13"/>
    </row>
    <row r="18" spans="1:14">
      <c r="A18" s="3" t="s">
        <v>45</v>
      </c>
      <c r="B18" s="21">
        <v>375</v>
      </c>
      <c r="C18" s="25">
        <v>45523</v>
      </c>
      <c r="D18" s="28">
        <v>1</v>
      </c>
      <c r="E18" s="21">
        <v>375</v>
      </c>
      <c r="F18" s="22">
        <f>E18*1.2</f>
        <v>450</v>
      </c>
      <c r="G18" s="21">
        <v>300</v>
      </c>
      <c r="H18" s="25">
        <v>45260</v>
      </c>
      <c r="I18" s="21">
        <v>300</v>
      </c>
      <c r="J18" s="21">
        <v>360</v>
      </c>
      <c r="K18" s="3"/>
      <c r="L18" s="4"/>
      <c r="M18" s="4"/>
      <c r="N18" s="13"/>
    </row>
    <row r="19" spans="1:14">
      <c r="A19" s="3"/>
      <c r="B19" s="25"/>
      <c r="C19" s="25"/>
      <c r="D19" s="30"/>
      <c r="E19" s="21"/>
      <c r="F19" s="22"/>
      <c r="G19" s="3"/>
      <c r="H19" s="25"/>
      <c r="I19" s="21"/>
      <c r="J19" s="21"/>
      <c r="K19" s="3"/>
      <c r="L19" s="4"/>
      <c r="M19" s="4"/>
      <c r="N19" s="13"/>
    </row>
    <row r="20" spans="1:14">
      <c r="A20" s="3"/>
      <c r="B20" s="25"/>
      <c r="C20" s="25"/>
      <c r="D20" s="30"/>
      <c r="E20" s="21"/>
      <c r="F20" s="22"/>
      <c r="G20" s="3"/>
      <c r="H20" s="25"/>
      <c r="I20" s="21"/>
      <c r="J20" s="13"/>
      <c r="K20" s="3"/>
      <c r="L20" s="4"/>
      <c r="M20" s="4"/>
      <c r="N20" s="13"/>
    </row>
    <row r="21" spans="1:14">
      <c r="A21" s="3"/>
      <c r="B21" s="25"/>
      <c r="C21" s="25"/>
      <c r="D21" s="30"/>
      <c r="E21" s="21"/>
      <c r="F21" s="22"/>
      <c r="G21" s="3"/>
      <c r="H21" s="4"/>
      <c r="I21" s="21"/>
      <c r="J21" s="13"/>
      <c r="K21" s="3"/>
      <c r="L21" s="4"/>
      <c r="M21" s="4"/>
      <c r="N21" s="13"/>
    </row>
    <row r="22" spans="1:14">
      <c r="A22" s="3"/>
      <c r="B22" s="25"/>
      <c r="C22" s="25"/>
      <c r="D22" s="30" t="s">
        <v>51</v>
      </c>
      <c r="E22" s="21">
        <f>B4-E7</f>
        <v>0</v>
      </c>
      <c r="F22" s="22">
        <f>E22*1.2</f>
        <v>0</v>
      </c>
      <c r="G22" s="3"/>
      <c r="H22" s="4" t="s">
        <v>51</v>
      </c>
      <c r="I22" s="21">
        <f>I4-I9-I11-I13-I14-I18</f>
        <v>0</v>
      </c>
      <c r="J22" s="22">
        <f>I22*1.2</f>
        <v>0</v>
      </c>
      <c r="K22" s="3"/>
      <c r="L22" s="4"/>
      <c r="M22" s="4"/>
      <c r="N22" s="13"/>
    </row>
    <row r="23" spans="1:14">
      <c r="A23" s="3"/>
      <c r="B23" s="25"/>
      <c r="C23" s="25"/>
      <c r="D23" s="30"/>
      <c r="E23" s="21"/>
      <c r="F23" s="22"/>
      <c r="G23" s="3"/>
      <c r="H23" s="4"/>
      <c r="I23" s="21"/>
      <c r="J23" s="13"/>
      <c r="K23" s="3"/>
      <c r="L23" s="4"/>
      <c r="M23" s="4"/>
      <c r="N23" s="13"/>
    </row>
    <row r="24" spans="1:14">
      <c r="A24" s="3"/>
      <c r="B24" s="25"/>
      <c r="C24" s="25"/>
      <c r="D24" s="30"/>
      <c r="E24" s="21"/>
      <c r="F24" s="22"/>
      <c r="G24" s="3"/>
      <c r="H24" s="4"/>
      <c r="I24" s="21"/>
      <c r="J24" s="13"/>
      <c r="K24" s="3"/>
      <c r="L24" s="4"/>
      <c r="M24" s="4"/>
      <c r="N24" s="13"/>
    </row>
    <row r="25" spans="1:14">
      <c r="A25" s="3"/>
      <c r="B25" s="25"/>
      <c r="C25" s="25"/>
      <c r="D25" s="30"/>
      <c r="E25" s="21"/>
      <c r="F25" s="22"/>
      <c r="G25" s="3"/>
      <c r="H25" s="4"/>
      <c r="I25" s="21"/>
      <c r="J25" s="13"/>
      <c r="K25" s="3"/>
      <c r="L25" s="4"/>
      <c r="M25" s="4"/>
      <c r="N25" s="13"/>
    </row>
    <row r="26" spans="1:14">
      <c r="A26" s="3"/>
      <c r="B26" s="25"/>
      <c r="C26" s="25"/>
      <c r="D26" s="30"/>
      <c r="E26" s="21"/>
      <c r="F26" s="22"/>
      <c r="G26" s="3"/>
      <c r="H26" s="4"/>
      <c r="I26" s="21"/>
      <c r="J26" s="13"/>
      <c r="K26" s="3"/>
      <c r="L26" s="4"/>
      <c r="M26" s="4"/>
      <c r="N26" s="13"/>
    </row>
    <row r="27" spans="1:14" ht="15.75" thickBot="1">
      <c r="A27" s="14"/>
      <c r="B27" s="26"/>
      <c r="C27" s="26"/>
      <c r="D27" s="31"/>
      <c r="E27" s="23"/>
      <c r="F27" s="24"/>
      <c r="G27" s="14"/>
      <c r="H27" s="15"/>
      <c r="I27" s="23"/>
      <c r="J27" s="16"/>
      <c r="K27" s="14"/>
      <c r="L27" s="15"/>
      <c r="M27" s="15"/>
      <c r="N27" s="16"/>
    </row>
    <row r="30" spans="1:14">
      <c r="F30" s="18"/>
      <c r="G30" s="50" t="s">
        <v>111</v>
      </c>
      <c r="H30" s="27">
        <f>F22+J22</f>
        <v>0</v>
      </c>
    </row>
    <row r="32" spans="1:14">
      <c r="F32" s="18"/>
    </row>
    <row r="33" spans="1:7">
      <c r="F33" s="27"/>
    </row>
    <row r="34" spans="1:7">
      <c r="A34" t="s">
        <v>46</v>
      </c>
    </row>
    <row r="35" spans="1:7">
      <c r="A35" t="s">
        <v>47</v>
      </c>
      <c r="G35" s="27"/>
    </row>
    <row r="36" spans="1:7">
      <c r="A36" t="s">
        <v>48</v>
      </c>
    </row>
  </sheetData>
  <mergeCells count="4">
    <mergeCell ref="A1:K1"/>
    <mergeCell ref="B5:F5"/>
    <mergeCell ref="H5:J5"/>
    <mergeCell ref="L5:N5"/>
  </mergeCells>
  <conditionalFormatting sqref="H3">
    <cfRule type="cellIs" dxfId="2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G35" sqref="G35"/>
    </sheetView>
  </sheetViews>
  <sheetFormatPr baseColWidth="10" defaultRowHeight="15"/>
  <cols>
    <col min="1" max="1" width="20" customWidth="1"/>
    <col min="2" max="2" width="12.85546875" bestFit="1" customWidth="1"/>
    <col min="3" max="3" width="15.5703125" customWidth="1"/>
    <col min="4" max="4" width="17.28515625" customWidth="1"/>
    <col min="5" max="5" width="20.85546875" bestFit="1" customWidth="1"/>
    <col min="6" max="6" width="12.85546875" bestFit="1" customWidth="1"/>
    <col min="7" max="8" width="11.85546875" bestFit="1" customWidth="1"/>
    <col min="9" max="9" width="13.28515625" bestFit="1" customWidth="1"/>
    <col min="11" max="12" width="11.85546875" bestFit="1" customWidth="1"/>
    <col min="13" max="13" width="13.28515625" bestFit="1" customWidth="1"/>
  </cols>
  <sheetData>
    <row r="1" spans="1:16" ht="2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6">
      <c r="I2" s="59" t="s">
        <v>93</v>
      </c>
      <c r="J2" s="69" t="s">
        <v>133</v>
      </c>
    </row>
    <row r="3" spans="1:16">
      <c r="B3" s="1" t="s">
        <v>3</v>
      </c>
      <c r="C3" s="1" t="s">
        <v>4</v>
      </c>
      <c r="E3" s="50" t="s">
        <v>27</v>
      </c>
      <c r="F3" s="21">
        <f>B4-C7-G7-K7-O7</f>
        <v>-593.17000000006146</v>
      </c>
    </row>
    <row r="4" spans="1:16" ht="15.75" thickBot="1">
      <c r="A4" t="s">
        <v>2</v>
      </c>
      <c r="B4" s="21">
        <v>606952.44999999995</v>
      </c>
      <c r="C4" s="18">
        <f>B4*1.2</f>
        <v>728342.94</v>
      </c>
      <c r="E4" s="50" t="s">
        <v>85</v>
      </c>
      <c r="F4" s="27">
        <f>F3*1.2</f>
        <v>-711.80400000007376</v>
      </c>
    </row>
    <row r="5" spans="1:16">
      <c r="A5" s="2"/>
      <c r="B5" s="152" t="s">
        <v>5</v>
      </c>
      <c r="C5" s="152"/>
      <c r="D5" s="153"/>
      <c r="E5" s="2"/>
      <c r="F5" s="152" t="s">
        <v>25</v>
      </c>
      <c r="G5" s="152"/>
      <c r="H5" s="153"/>
      <c r="I5" s="2"/>
      <c r="J5" s="152" t="s">
        <v>1</v>
      </c>
      <c r="K5" s="152"/>
      <c r="L5" s="153"/>
      <c r="M5" s="2"/>
      <c r="N5" s="152" t="s">
        <v>52</v>
      </c>
      <c r="O5" s="152"/>
      <c r="P5" s="153"/>
    </row>
    <row r="6" spans="1:16" ht="18.75">
      <c r="A6" s="3"/>
      <c r="B6" s="19" t="s">
        <v>21</v>
      </c>
      <c r="C6" s="19" t="s">
        <v>3</v>
      </c>
      <c r="D6" s="20" t="s">
        <v>4</v>
      </c>
      <c r="E6" s="3"/>
      <c r="F6" s="19" t="s">
        <v>21</v>
      </c>
      <c r="G6" s="19" t="s">
        <v>3</v>
      </c>
      <c r="H6" s="20" t="s">
        <v>4</v>
      </c>
      <c r="I6" s="3"/>
      <c r="J6" s="19" t="s">
        <v>21</v>
      </c>
      <c r="K6" s="19" t="s">
        <v>3</v>
      </c>
      <c r="L6" s="20" t="s">
        <v>4</v>
      </c>
      <c r="M6" s="3"/>
      <c r="N6" s="19" t="s">
        <v>21</v>
      </c>
      <c r="O6" s="19" t="s">
        <v>3</v>
      </c>
      <c r="P6" s="20" t="s">
        <v>4</v>
      </c>
    </row>
    <row r="7" spans="1:16">
      <c r="A7" s="6" t="s">
        <v>6</v>
      </c>
      <c r="B7" s="7"/>
      <c r="C7" s="8">
        <f>SUM(C9:C24)</f>
        <v>567731.30333333334</v>
      </c>
      <c r="D7" s="9">
        <f>SUM(D9:D24)</f>
        <v>681277.56799999997</v>
      </c>
      <c r="E7" s="6" t="s">
        <v>6</v>
      </c>
      <c r="F7" s="7"/>
      <c r="G7" s="8">
        <f>SUM(G9:G24)</f>
        <v>15746.583333333334</v>
      </c>
      <c r="H7" s="9">
        <f>SUM(H9:H24)</f>
        <v>27998.000000000004</v>
      </c>
      <c r="I7" s="6" t="s">
        <v>6</v>
      </c>
      <c r="J7" s="7"/>
      <c r="K7" s="8">
        <f>SUM(K9:K24)</f>
        <v>20776.900000000001</v>
      </c>
      <c r="L7" s="33">
        <f>SUM(L9:L24)</f>
        <v>53360.399999999994</v>
      </c>
      <c r="M7" s="6" t="s">
        <v>6</v>
      </c>
      <c r="N7" s="7"/>
      <c r="O7" s="8">
        <f>SUM(O9:O24)</f>
        <v>3290.8333333333335</v>
      </c>
      <c r="P7" s="9">
        <f>SUM(P9:P24)</f>
        <v>3949</v>
      </c>
    </row>
    <row r="8" spans="1:16" ht="9" customHeight="1">
      <c r="A8" s="10"/>
      <c r="B8" s="11"/>
      <c r="C8" s="11"/>
      <c r="D8" s="12"/>
      <c r="E8" s="10"/>
      <c r="F8" s="11"/>
      <c r="G8" s="11"/>
      <c r="H8" s="12"/>
      <c r="I8" s="10"/>
      <c r="J8" s="11"/>
      <c r="K8" s="11"/>
      <c r="L8" s="12"/>
      <c r="M8" s="10"/>
      <c r="N8" s="11"/>
      <c r="O8" s="11"/>
      <c r="P8" s="12"/>
    </row>
    <row r="9" spans="1:16">
      <c r="A9" s="55" t="s">
        <v>26</v>
      </c>
      <c r="B9" s="56">
        <v>44704</v>
      </c>
      <c r="C9" s="57">
        <v>25734.6</v>
      </c>
      <c r="D9" s="58">
        <v>30881.52</v>
      </c>
      <c r="E9" s="55" t="s">
        <v>7</v>
      </c>
      <c r="F9" s="56">
        <v>44736</v>
      </c>
      <c r="G9" s="57">
        <f>H9/1.2</f>
        <v>5239.416666666667</v>
      </c>
      <c r="H9" s="57">
        <v>6287.3</v>
      </c>
      <c r="I9" s="55" t="s">
        <v>7</v>
      </c>
      <c r="J9" s="56">
        <v>44795</v>
      </c>
      <c r="K9" s="57">
        <f>L9/1.2</f>
        <v>925</v>
      </c>
      <c r="L9" s="57">
        <v>1110</v>
      </c>
      <c r="M9" s="72" t="s">
        <v>7</v>
      </c>
      <c r="N9" s="74">
        <v>44875</v>
      </c>
      <c r="O9" s="71">
        <f>P9/1.2</f>
        <v>3290.8333333333335</v>
      </c>
      <c r="P9" s="70">
        <v>3949</v>
      </c>
    </row>
    <row r="10" spans="1:16">
      <c r="A10" s="55" t="s">
        <v>7</v>
      </c>
      <c r="B10" s="56">
        <v>44704</v>
      </c>
      <c r="C10" s="57">
        <v>58880</v>
      </c>
      <c r="D10" s="58">
        <v>70656</v>
      </c>
      <c r="E10" s="55" t="s">
        <v>8</v>
      </c>
      <c r="F10" s="56">
        <v>44795</v>
      </c>
      <c r="G10" s="57">
        <f t="shared" ref="G10:G12" si="0">H10/1.2</f>
        <v>2350.5</v>
      </c>
      <c r="H10" s="57">
        <v>2820.6</v>
      </c>
      <c r="I10" s="72" t="s">
        <v>8</v>
      </c>
      <c r="J10" s="73">
        <v>44935</v>
      </c>
      <c r="K10" s="71">
        <f>L10/1.2</f>
        <v>14674.066666666668</v>
      </c>
      <c r="L10" s="71">
        <v>17608.88</v>
      </c>
      <c r="M10" s="3"/>
      <c r="N10" s="4"/>
      <c r="O10" s="4"/>
      <c r="P10" s="13"/>
    </row>
    <row r="11" spans="1:16">
      <c r="A11" s="55" t="s">
        <v>8</v>
      </c>
      <c r="B11" s="56">
        <v>44736</v>
      </c>
      <c r="C11" s="57">
        <v>44681.58</v>
      </c>
      <c r="D11" s="58">
        <v>53617.9</v>
      </c>
      <c r="E11" s="55" t="s">
        <v>9</v>
      </c>
      <c r="F11" s="56">
        <v>44795</v>
      </c>
      <c r="G11" s="57">
        <f t="shared" si="0"/>
        <v>5676.666666666667</v>
      </c>
      <c r="H11" s="57">
        <v>6812</v>
      </c>
      <c r="I11" s="72" t="s">
        <v>9</v>
      </c>
      <c r="J11" s="73">
        <v>45168</v>
      </c>
      <c r="K11" s="71">
        <f>L11/1.2</f>
        <v>5177.833333333333</v>
      </c>
      <c r="L11" s="71">
        <v>6213.4</v>
      </c>
      <c r="M11" s="3"/>
      <c r="N11" s="4"/>
      <c r="O11" s="4"/>
      <c r="P11" s="13"/>
    </row>
    <row r="12" spans="1:16">
      <c r="A12" s="55" t="s">
        <v>9</v>
      </c>
      <c r="B12" s="56">
        <v>44796</v>
      </c>
      <c r="C12" s="57">
        <f>D12/1.2</f>
        <v>52971.500000000007</v>
      </c>
      <c r="D12" s="58">
        <v>63565.8</v>
      </c>
      <c r="E12" s="72" t="s">
        <v>10</v>
      </c>
      <c r="F12" s="73">
        <v>44875</v>
      </c>
      <c r="G12" s="71">
        <f t="shared" si="0"/>
        <v>2480</v>
      </c>
      <c r="H12" s="71">
        <v>2976</v>
      </c>
      <c r="I12" s="3"/>
      <c r="J12" s="4"/>
      <c r="K12" s="4"/>
      <c r="L12" s="13"/>
      <c r="M12" s="3"/>
      <c r="N12" s="4"/>
      <c r="O12" s="4"/>
      <c r="P12" s="13"/>
    </row>
    <row r="13" spans="1:16">
      <c r="A13" s="55" t="s">
        <v>10</v>
      </c>
      <c r="B13" s="56">
        <v>44796</v>
      </c>
      <c r="C13" s="57">
        <f>D13/1.2</f>
        <v>52608.333333333336</v>
      </c>
      <c r="D13" s="58">
        <v>63130</v>
      </c>
      <c r="E13" s="3"/>
      <c r="F13" s="25"/>
      <c r="G13" s="21"/>
      <c r="H13" s="13"/>
      <c r="I13" s="3"/>
      <c r="J13" s="4"/>
      <c r="K13" s="4"/>
      <c r="L13" s="13"/>
      <c r="M13" s="3"/>
      <c r="N13" s="4"/>
      <c r="O13" s="4"/>
      <c r="P13" s="13"/>
    </row>
    <row r="14" spans="1:16">
      <c r="A14" s="55" t="s">
        <v>11</v>
      </c>
      <c r="B14" s="56">
        <v>44820</v>
      </c>
      <c r="C14" s="57">
        <f>D14/1.2</f>
        <v>39550</v>
      </c>
      <c r="D14" s="58">
        <v>47460</v>
      </c>
      <c r="E14" s="3"/>
      <c r="F14" s="25"/>
      <c r="G14" s="21"/>
      <c r="H14" s="13"/>
      <c r="I14" s="3"/>
      <c r="J14" s="4"/>
      <c r="K14" s="4"/>
      <c r="L14" s="13"/>
      <c r="M14" s="3"/>
      <c r="N14" s="4"/>
      <c r="O14" s="4"/>
      <c r="P14" s="13"/>
    </row>
    <row r="15" spans="1:16">
      <c r="A15" s="55" t="s">
        <v>53</v>
      </c>
      <c r="B15" s="56">
        <v>44820</v>
      </c>
      <c r="C15" s="57">
        <f t="shared" ref="C15:C19" si="1">D15/1.2</f>
        <v>15036.866666666669</v>
      </c>
      <c r="D15" s="58">
        <v>18044.240000000002</v>
      </c>
      <c r="E15" s="3"/>
      <c r="F15" s="25"/>
      <c r="G15" s="21"/>
      <c r="H15" s="13"/>
      <c r="I15" s="3"/>
      <c r="J15" s="4"/>
      <c r="K15" s="4"/>
      <c r="L15" s="13"/>
      <c r="M15" s="3"/>
      <c r="N15" s="4"/>
      <c r="O15" s="4"/>
      <c r="P15" s="13"/>
    </row>
    <row r="16" spans="1:16">
      <c r="A16" s="55" t="s">
        <v>12</v>
      </c>
      <c r="B16" s="56">
        <v>44840</v>
      </c>
      <c r="C16" s="57">
        <f>9781.29+108681</f>
        <v>118462.29000000001</v>
      </c>
      <c r="D16" s="58">
        <f>C16*1.2</f>
        <v>142154.74799999999</v>
      </c>
      <c r="E16" s="3"/>
      <c r="F16" s="4"/>
      <c r="G16" s="21"/>
      <c r="H16" s="13"/>
      <c r="I16" s="3"/>
      <c r="J16" s="4"/>
      <c r="K16" s="4"/>
      <c r="L16" s="13"/>
      <c r="M16" s="3"/>
      <c r="N16" s="4"/>
      <c r="O16" s="4"/>
      <c r="P16" s="13"/>
    </row>
    <row r="17" spans="1:16">
      <c r="A17" s="72" t="s">
        <v>13</v>
      </c>
      <c r="B17" s="73">
        <v>44875</v>
      </c>
      <c r="C17" s="71">
        <f t="shared" si="1"/>
        <v>60365.066666666673</v>
      </c>
      <c r="D17" s="70">
        <v>72438.080000000002</v>
      </c>
      <c r="E17" s="3"/>
      <c r="F17" s="4"/>
      <c r="G17" s="21"/>
      <c r="H17" s="13"/>
      <c r="I17" s="3"/>
      <c r="J17" s="4"/>
      <c r="K17" s="4"/>
      <c r="L17" s="13"/>
      <c r="M17" s="3"/>
      <c r="N17" s="4"/>
      <c r="O17" s="4"/>
      <c r="P17" s="13"/>
    </row>
    <row r="18" spans="1:16">
      <c r="A18" s="72" t="s">
        <v>14</v>
      </c>
      <c r="B18" s="73">
        <v>44935</v>
      </c>
      <c r="C18" s="71">
        <f t="shared" si="1"/>
        <v>46620.933333333334</v>
      </c>
      <c r="D18" s="70">
        <v>55945.120000000003</v>
      </c>
      <c r="E18" s="3"/>
      <c r="F18" s="4"/>
      <c r="G18" s="21"/>
      <c r="H18" s="13"/>
      <c r="I18" s="3"/>
      <c r="J18" s="4"/>
      <c r="K18" s="4"/>
      <c r="L18" s="13"/>
      <c r="M18" s="3"/>
      <c r="N18" s="4"/>
      <c r="O18" s="4"/>
      <c r="P18" s="13"/>
    </row>
    <row r="19" spans="1:16">
      <c r="A19" s="72" t="s">
        <v>115</v>
      </c>
      <c r="B19" s="73">
        <v>45168</v>
      </c>
      <c r="C19" s="71">
        <f t="shared" si="1"/>
        <v>52820.133333333339</v>
      </c>
      <c r="D19" s="70">
        <v>63384.160000000003</v>
      </c>
      <c r="E19" s="3"/>
      <c r="F19" s="4"/>
      <c r="G19" s="21"/>
      <c r="H19" s="13"/>
      <c r="I19" s="3"/>
      <c r="J19" s="4"/>
      <c r="K19" s="4"/>
      <c r="L19" s="13"/>
      <c r="M19" s="3"/>
      <c r="N19" s="4"/>
      <c r="O19" s="4"/>
      <c r="P19" s="13"/>
    </row>
    <row r="20" spans="1:16" s="50" customFormat="1">
      <c r="A20" s="3" t="s">
        <v>114</v>
      </c>
      <c r="B20" s="25"/>
      <c r="C20" s="21"/>
      <c r="D20" s="22"/>
      <c r="E20" s="3"/>
      <c r="F20" s="4"/>
      <c r="G20" s="21"/>
      <c r="H20" s="13"/>
      <c r="I20" s="3"/>
      <c r="J20" s="4"/>
      <c r="K20" s="4"/>
      <c r="L20" s="13"/>
      <c r="M20" s="3"/>
      <c r="N20" s="4"/>
      <c r="O20" s="4"/>
      <c r="P20" s="13"/>
    </row>
    <row r="21" spans="1:16">
      <c r="A21" s="3"/>
      <c r="B21" s="25"/>
      <c r="C21" s="21"/>
      <c r="D21" s="22"/>
      <c r="E21" s="3"/>
      <c r="F21" s="4"/>
      <c r="G21" s="21"/>
      <c r="H21" s="13"/>
      <c r="I21" s="3"/>
      <c r="J21" s="4"/>
      <c r="K21" s="4"/>
      <c r="L21" s="13"/>
      <c r="M21" s="3"/>
      <c r="N21" s="4"/>
      <c r="O21" s="4"/>
      <c r="P21" s="13"/>
    </row>
    <row r="22" spans="1:16">
      <c r="A22" s="3"/>
      <c r="B22" s="25"/>
      <c r="C22" s="21"/>
      <c r="D22" s="22"/>
      <c r="E22" s="3"/>
      <c r="F22" s="4"/>
      <c r="G22" s="21"/>
      <c r="H22" s="13"/>
      <c r="I22" s="3"/>
      <c r="J22" s="4"/>
      <c r="K22" s="4"/>
      <c r="L22" s="13"/>
      <c r="M22" s="3"/>
      <c r="N22" s="4"/>
      <c r="O22" s="4"/>
      <c r="P22" s="13"/>
    </row>
    <row r="23" spans="1:16" ht="15.75" thickBot="1">
      <c r="A23" s="14"/>
      <c r="B23" s="26"/>
      <c r="C23" s="23"/>
      <c r="D23" s="24"/>
      <c r="E23" s="14"/>
      <c r="F23" s="15"/>
      <c r="G23" s="23"/>
      <c r="H23" s="16"/>
      <c r="I23" s="14"/>
      <c r="J23" s="15"/>
      <c r="K23" s="15"/>
      <c r="L23" s="16"/>
      <c r="M23" s="14"/>
      <c r="N23" s="15"/>
      <c r="O23" s="15"/>
      <c r="P23" s="16"/>
    </row>
    <row r="24" spans="1:16">
      <c r="H24" s="27">
        <f>27998-H9-H10-H11-H12</f>
        <v>9102.1000000000022</v>
      </c>
      <c r="L24" s="27">
        <f>47147-L10-L9</f>
        <v>28428.12</v>
      </c>
    </row>
    <row r="26" spans="1:16">
      <c r="C26" t="s">
        <v>3</v>
      </c>
      <c r="D26" s="18">
        <f>C7+G7+K7+O7</f>
        <v>607545.62000000011</v>
      </c>
      <c r="G26" s="27">
        <f>B4-F3</f>
        <v>607545.62</v>
      </c>
    </row>
    <row r="27" spans="1:16">
      <c r="C27" t="s">
        <v>4</v>
      </c>
      <c r="D27" s="18">
        <f>D26*1.2</f>
        <v>729054.74400000006</v>
      </c>
      <c r="G27" s="27">
        <f>G26*1.2</f>
        <v>729054.74399999995</v>
      </c>
    </row>
    <row r="28" spans="1:16">
      <c r="D28" s="18"/>
    </row>
    <row r="29" spans="1:16">
      <c r="A29" s="27">
        <f>D9+D10+D11+H9+D12+H10+L9+D13+H11+D14</f>
        <v>346341.12</v>
      </c>
      <c r="D29" s="27"/>
      <c r="K29" s="27">
        <f>D9+D10+D11+D12+D13+D14+D15+D16+H9+H10+H11+L9</f>
        <v>506540.10799999995</v>
      </c>
      <c r="L29" s="27">
        <f>K29/1.2</f>
        <v>422116.75666666665</v>
      </c>
    </row>
    <row r="30" spans="1:16">
      <c r="A30" s="27">
        <f>A29-333503.84</f>
        <v>12837.27999999997</v>
      </c>
      <c r="B30" s="18"/>
    </row>
    <row r="31" spans="1:16">
      <c r="A31">
        <f>267999.6+65504.24</f>
        <v>333503.83999999997</v>
      </c>
      <c r="D31" s="27"/>
    </row>
    <row r="32" spans="1:16">
      <c r="F32" s="61" t="s">
        <v>113</v>
      </c>
      <c r="G32" s="27">
        <f>D17+D18+H12+L10+P9</f>
        <v>152917.08000000002</v>
      </c>
    </row>
    <row r="33" spans="1:7">
      <c r="C33" s="27">
        <f>+D11+D12+D13</f>
        <v>180313.7</v>
      </c>
      <c r="G33" s="27">
        <f>G32+46797.56</f>
        <v>199714.64</v>
      </c>
    </row>
    <row r="35" spans="1:7">
      <c r="A35" s="18">
        <f>D7+H7+L7+P7</f>
        <v>766584.96799999999</v>
      </c>
      <c r="B35" s="50" t="s">
        <v>112</v>
      </c>
    </row>
    <row r="36" spans="1:7">
      <c r="C36" s="27"/>
    </row>
    <row r="37" spans="1:7">
      <c r="A37">
        <f>719870.4-659457.19</f>
        <v>60413.210000000079</v>
      </c>
    </row>
    <row r="38" spans="1:7">
      <c r="C38" s="27"/>
    </row>
  </sheetData>
  <mergeCells count="5">
    <mergeCell ref="N5:P5"/>
    <mergeCell ref="A1:I1"/>
    <mergeCell ref="B5:D5"/>
    <mergeCell ref="F5:H5"/>
    <mergeCell ref="J5:L5"/>
  </mergeCells>
  <conditionalFormatting sqref="F3">
    <cfRule type="cellIs" dxfId="1" priority="1" operator="lessThanOrEqual">
      <formula>0</formula>
    </cfRule>
  </conditionalFormatting>
  <pageMargins left="0.7" right="0.7" top="0.75" bottom="0.75" header="0.3" footer="0.3"/>
  <pageSetup paperSize="9" orientation="portrait" r:id="rId1"/>
  <ignoredErrors>
    <ignoredError sqref="C16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D10" sqref="D10"/>
    </sheetView>
  </sheetViews>
  <sheetFormatPr baseColWidth="10" defaultRowHeight="15"/>
  <cols>
    <col min="1" max="1" width="23.28515625" bestFit="1" customWidth="1"/>
    <col min="2" max="2" width="12.85546875" bestFit="1" customWidth="1"/>
    <col min="3" max="3" width="15.5703125" customWidth="1"/>
    <col min="4" max="4" width="17.28515625" customWidth="1"/>
    <col min="5" max="5" width="17.28515625" style="50" customWidth="1"/>
    <col min="6" max="6" width="17.42578125" customWidth="1"/>
    <col min="7" max="7" width="16.42578125" customWidth="1"/>
  </cols>
  <sheetData>
    <row r="1" spans="1:9" ht="2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5.75" thickBot="1"/>
    <row r="3" spans="1:9" ht="15.75" thickBot="1">
      <c r="B3" s="1" t="s">
        <v>3</v>
      </c>
      <c r="C3" s="1" t="s">
        <v>4</v>
      </c>
      <c r="F3" t="s">
        <v>22</v>
      </c>
      <c r="G3" s="17">
        <f>B4-C7-H7</f>
        <v>-2497.6016666666692</v>
      </c>
    </row>
    <row r="4" spans="1:9" ht="15.75" thickBot="1">
      <c r="A4" t="s">
        <v>2</v>
      </c>
      <c r="B4" s="18">
        <v>38401.089999999997</v>
      </c>
      <c r="C4" s="18">
        <f>(B4*1.2)</f>
        <v>46081.307999999997</v>
      </c>
    </row>
    <row r="5" spans="1:9">
      <c r="A5" s="154" t="s">
        <v>86</v>
      </c>
      <c r="B5" s="152"/>
      <c r="C5" s="152"/>
      <c r="D5" s="152"/>
      <c r="E5" s="153"/>
      <c r="F5" s="2"/>
      <c r="G5" s="152"/>
      <c r="H5" s="152"/>
      <c r="I5" s="153"/>
    </row>
    <row r="6" spans="1:9" ht="18.75">
      <c r="A6" s="3"/>
      <c r="B6" s="4" t="s">
        <v>21</v>
      </c>
      <c r="C6" s="4" t="s">
        <v>3</v>
      </c>
      <c r="D6" s="148" t="s">
        <v>4</v>
      </c>
      <c r="E6" s="148"/>
      <c r="F6" s="3"/>
      <c r="G6" s="4" t="s">
        <v>21</v>
      </c>
      <c r="H6" s="4" t="s">
        <v>3</v>
      </c>
      <c r="I6" s="5" t="s">
        <v>4</v>
      </c>
    </row>
    <row r="7" spans="1:9">
      <c r="A7" s="6" t="s">
        <v>6</v>
      </c>
      <c r="B7" s="7"/>
      <c r="C7" s="32">
        <f>SUM(C9:C22)</f>
        <v>40898.691666666666</v>
      </c>
      <c r="D7" s="32">
        <f>SUM(D9:D22)</f>
        <v>49078.43</v>
      </c>
      <c r="E7" s="149" t="s">
        <v>212</v>
      </c>
      <c r="F7" s="6" t="s">
        <v>6</v>
      </c>
      <c r="G7" s="7"/>
      <c r="H7" s="8">
        <f>SUM(H9:H23)</f>
        <v>0</v>
      </c>
      <c r="I7" s="9">
        <f>SUM(I9:I23)</f>
        <v>0</v>
      </c>
    </row>
    <row r="8" spans="1:9" ht="9" customHeight="1">
      <c r="A8" s="10"/>
      <c r="B8" s="11"/>
      <c r="C8" s="11"/>
      <c r="D8" s="11"/>
      <c r="E8" s="11"/>
      <c r="F8" s="10"/>
      <c r="G8" s="11"/>
      <c r="H8" s="11"/>
      <c r="I8" s="12"/>
    </row>
    <row r="9" spans="1:9">
      <c r="A9" s="3" t="s">
        <v>7</v>
      </c>
      <c r="B9" s="25">
        <v>44950</v>
      </c>
      <c r="C9" s="147">
        <f>D9/1.2</f>
        <v>25814.708333333336</v>
      </c>
      <c r="D9" s="147">
        <v>30977.65</v>
      </c>
      <c r="E9" s="147" t="s">
        <v>100</v>
      </c>
      <c r="F9" s="3" t="s">
        <v>7</v>
      </c>
      <c r="G9" s="4"/>
      <c r="H9" s="4"/>
      <c r="I9" s="13"/>
    </row>
    <row r="10" spans="1:9">
      <c r="A10" s="3" t="s">
        <v>211</v>
      </c>
      <c r="B10" s="25">
        <v>45253</v>
      </c>
      <c r="C10" s="147">
        <f>D10/1.2</f>
        <v>14105.383333333333</v>
      </c>
      <c r="D10" s="147">
        <v>16926.46</v>
      </c>
      <c r="E10" s="147" t="s">
        <v>217</v>
      </c>
      <c r="F10" s="3" t="s">
        <v>8</v>
      </c>
      <c r="G10" s="4"/>
      <c r="H10" s="4"/>
      <c r="I10" s="13"/>
    </row>
    <row r="11" spans="1:9">
      <c r="A11" s="3" t="s">
        <v>215</v>
      </c>
      <c r="B11" s="25">
        <v>45257</v>
      </c>
      <c r="C11" s="147">
        <v>978.6</v>
      </c>
      <c r="D11" s="147">
        <v>1174.32</v>
      </c>
      <c r="E11" s="147" t="s">
        <v>214</v>
      </c>
      <c r="F11" s="3" t="s">
        <v>9</v>
      </c>
      <c r="G11" s="4"/>
      <c r="H11" s="4"/>
      <c r="I11" s="13"/>
    </row>
    <row r="12" spans="1:9">
      <c r="A12" s="3"/>
      <c r="B12" s="4"/>
      <c r="C12" s="4"/>
      <c r="D12" s="4"/>
      <c r="E12" s="4"/>
      <c r="F12" s="3" t="s">
        <v>10</v>
      </c>
      <c r="G12" s="4"/>
      <c r="H12" s="4"/>
      <c r="I12" s="13"/>
    </row>
    <row r="13" spans="1:9">
      <c r="A13" s="3"/>
      <c r="B13" s="4"/>
      <c r="C13" s="4"/>
      <c r="D13" s="4"/>
      <c r="E13" s="4"/>
      <c r="F13" s="3" t="s">
        <v>11</v>
      </c>
      <c r="G13" s="4"/>
      <c r="H13" s="4"/>
      <c r="I13" s="13"/>
    </row>
    <row r="14" spans="1:9">
      <c r="A14" s="3"/>
      <c r="B14" s="4"/>
      <c r="C14" s="4"/>
      <c r="D14" s="4"/>
      <c r="E14" s="4"/>
      <c r="F14" s="3" t="s">
        <v>12</v>
      </c>
      <c r="G14" s="4"/>
      <c r="H14" s="4"/>
      <c r="I14" s="13"/>
    </row>
    <row r="15" spans="1:9">
      <c r="A15" s="3"/>
      <c r="B15" s="4"/>
      <c r="C15" s="4"/>
      <c r="D15" s="4"/>
      <c r="E15" s="4"/>
      <c r="F15" s="3" t="s">
        <v>13</v>
      </c>
      <c r="G15" s="4"/>
      <c r="H15" s="4"/>
      <c r="I15" s="13"/>
    </row>
    <row r="16" spans="1:9">
      <c r="A16" s="3"/>
      <c r="B16" s="4"/>
      <c r="C16" s="4"/>
      <c r="D16" s="4"/>
      <c r="E16" s="4"/>
      <c r="F16" s="3" t="s">
        <v>14</v>
      </c>
      <c r="G16" s="4"/>
      <c r="H16" s="4"/>
      <c r="I16" s="13"/>
    </row>
    <row r="17" spans="1:9">
      <c r="A17" s="3"/>
      <c r="B17" s="4"/>
      <c r="C17" s="4"/>
      <c r="D17" s="4"/>
      <c r="E17" s="4"/>
      <c r="F17" s="3" t="s">
        <v>15</v>
      </c>
      <c r="G17" s="4"/>
      <c r="H17" s="4"/>
      <c r="I17" s="13"/>
    </row>
    <row r="18" spans="1:9">
      <c r="A18" s="3"/>
      <c r="B18" s="4"/>
      <c r="C18" s="4"/>
      <c r="D18" s="4"/>
      <c r="E18" s="4"/>
      <c r="F18" s="3" t="s">
        <v>16</v>
      </c>
      <c r="G18" s="4"/>
      <c r="H18" s="4"/>
      <c r="I18" s="13"/>
    </row>
    <row r="19" spans="1:9">
      <c r="A19" s="3"/>
      <c r="B19" s="4"/>
      <c r="C19" s="4"/>
      <c r="D19" s="4"/>
      <c r="E19" s="4"/>
      <c r="F19" s="3" t="s">
        <v>17</v>
      </c>
      <c r="G19" s="4"/>
      <c r="H19" s="4"/>
      <c r="I19" s="13"/>
    </row>
    <row r="20" spans="1:9">
      <c r="A20" s="3"/>
      <c r="B20" s="4"/>
      <c r="C20" s="4"/>
      <c r="D20" s="4"/>
      <c r="E20" s="4"/>
      <c r="F20" s="3" t="s">
        <v>18</v>
      </c>
      <c r="G20" s="4"/>
      <c r="H20" s="4"/>
      <c r="I20" s="13"/>
    </row>
    <row r="21" spans="1:9">
      <c r="A21" s="3"/>
      <c r="B21" s="4"/>
      <c r="C21" s="4"/>
      <c r="D21" s="4"/>
      <c r="E21" s="4"/>
      <c r="F21" s="3" t="s">
        <v>19</v>
      </c>
      <c r="G21" s="4"/>
      <c r="H21" s="4"/>
      <c r="I21" s="13"/>
    </row>
    <row r="22" spans="1:9" ht="15.75" thickBot="1">
      <c r="A22" s="14"/>
      <c r="B22" s="15"/>
      <c r="C22" s="15"/>
      <c r="D22" s="15"/>
      <c r="E22" s="15"/>
      <c r="F22" s="14" t="s">
        <v>20</v>
      </c>
      <c r="G22" s="15"/>
      <c r="H22" s="15"/>
      <c r="I22" s="16"/>
    </row>
    <row r="25" spans="1:9">
      <c r="D25" s="18">
        <f>C4-D7</f>
        <v>-2997.122000000003</v>
      </c>
      <c r="E25" s="18"/>
    </row>
    <row r="26" spans="1:9">
      <c r="F26" s="18"/>
    </row>
    <row r="28" spans="1:9">
      <c r="A28" s="50" t="s">
        <v>88</v>
      </c>
      <c r="B28" s="18">
        <f>C4*1.043</f>
        <v>48062.804243999992</v>
      </c>
    </row>
    <row r="29" spans="1:9">
      <c r="A29" s="50" t="s">
        <v>89</v>
      </c>
      <c r="B29" s="18">
        <f>B28-C4</f>
        <v>1981.4962439999945</v>
      </c>
    </row>
    <row r="30" spans="1:9">
      <c r="A30" s="50" t="s">
        <v>90</v>
      </c>
    </row>
    <row r="32" spans="1:9">
      <c r="A32" s="51">
        <v>1527.6</v>
      </c>
    </row>
  </sheetData>
  <mergeCells count="3">
    <mergeCell ref="A1:I1"/>
    <mergeCell ref="G5:I5"/>
    <mergeCell ref="A5:E5"/>
  </mergeCells>
  <conditionalFormatting sqref="G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I10"/>
  <sheetViews>
    <sheetView workbookViewId="0">
      <selection activeCell="A6" sqref="A6"/>
    </sheetView>
  </sheetViews>
  <sheetFormatPr baseColWidth="10" defaultRowHeight="15"/>
  <cols>
    <col min="1" max="1" width="23.7109375" bestFit="1" customWidth="1"/>
    <col min="2" max="2" width="15.85546875" bestFit="1" customWidth="1"/>
    <col min="3" max="3" width="14.28515625" bestFit="1" customWidth="1"/>
    <col min="4" max="4" width="15.140625" bestFit="1" customWidth="1"/>
    <col min="5" max="7" width="12.28515625" bestFit="1" customWidth="1"/>
    <col min="8" max="8" width="16.42578125" bestFit="1" customWidth="1"/>
    <col min="9" max="14" width="12.28515625" bestFit="1" customWidth="1"/>
    <col min="15" max="15" width="13.28515625" bestFit="1" customWidth="1"/>
  </cols>
  <sheetData>
    <row r="2" spans="1:9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40</v>
      </c>
      <c r="H2" t="s">
        <v>38</v>
      </c>
      <c r="I2" t="s">
        <v>39</v>
      </c>
    </row>
    <row r="3" spans="1:9">
      <c r="A3" t="s">
        <v>23</v>
      </c>
      <c r="B3" s="27">
        <v>35000</v>
      </c>
      <c r="C3" s="28"/>
      <c r="D3" s="27"/>
      <c r="E3" s="27">
        <v>35000</v>
      </c>
      <c r="F3" s="27"/>
      <c r="G3" s="27"/>
      <c r="H3" s="27">
        <f>SUM(E3:G3)</f>
        <v>35000</v>
      </c>
    </row>
    <row r="4" spans="1:9">
      <c r="A4" t="s">
        <v>24</v>
      </c>
      <c r="B4" s="27">
        <v>68000</v>
      </c>
      <c r="C4" s="28"/>
      <c r="D4" s="27"/>
      <c r="E4" s="27">
        <v>47600</v>
      </c>
      <c r="F4" s="27"/>
      <c r="G4" s="27">
        <v>20400</v>
      </c>
      <c r="H4" s="27">
        <f t="shared" ref="H4:H6" si="0">SUM(E4:G4)</f>
        <v>68000</v>
      </c>
    </row>
    <row r="5" spans="1:9">
      <c r="A5" t="s">
        <v>33</v>
      </c>
      <c r="B5" s="27">
        <v>45000</v>
      </c>
      <c r="C5" s="28">
        <v>0.3</v>
      </c>
      <c r="D5" s="27">
        <v>150000</v>
      </c>
      <c r="E5" s="27">
        <f>0.8*45000</f>
        <v>36000</v>
      </c>
      <c r="F5" s="27"/>
      <c r="G5" s="27">
        <v>9000</v>
      </c>
      <c r="H5" s="27">
        <f t="shared" si="0"/>
        <v>45000</v>
      </c>
      <c r="I5" s="27">
        <f>D5*C5</f>
        <v>45000</v>
      </c>
    </row>
    <row r="6" spans="1:9">
      <c r="A6" t="s">
        <v>34</v>
      </c>
      <c r="B6" s="27">
        <v>45900</v>
      </c>
      <c r="C6" s="28">
        <v>0.3</v>
      </c>
      <c r="D6" s="27">
        <v>153000</v>
      </c>
      <c r="E6" s="27">
        <f>0.8*45900</f>
        <v>36720</v>
      </c>
      <c r="F6" s="27"/>
      <c r="G6" s="27">
        <v>9180</v>
      </c>
      <c r="H6" s="27">
        <f t="shared" si="0"/>
        <v>45900</v>
      </c>
      <c r="I6" s="27">
        <f>D6*C6</f>
        <v>45900</v>
      </c>
    </row>
    <row r="7" spans="1:9">
      <c r="A7" t="s">
        <v>37</v>
      </c>
      <c r="B7" s="27">
        <v>12000</v>
      </c>
      <c r="C7" s="28"/>
      <c r="D7" s="27"/>
      <c r="E7" s="27">
        <v>12000</v>
      </c>
      <c r="F7" s="27"/>
      <c r="G7" s="27"/>
      <c r="H7" s="27">
        <v>12000</v>
      </c>
    </row>
    <row r="10" spans="1:9">
      <c r="H10" s="27">
        <f>SUM(H3:H7)</f>
        <v>205900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9"/>
  <sheetViews>
    <sheetView workbookViewId="0">
      <selection activeCell="B4" sqref="B4"/>
    </sheetView>
  </sheetViews>
  <sheetFormatPr baseColWidth="10" defaultRowHeight="15"/>
  <cols>
    <col min="1" max="1" width="16.7109375" customWidth="1"/>
    <col min="2" max="2" width="15.85546875" bestFit="1" customWidth="1"/>
    <col min="3" max="3" width="13.140625" bestFit="1" customWidth="1"/>
    <col min="4" max="4" width="15.140625" bestFit="1" customWidth="1"/>
    <col min="5" max="7" width="12.28515625" bestFit="1" customWidth="1"/>
    <col min="8" max="8" width="16.42578125" bestFit="1" customWidth="1"/>
  </cols>
  <sheetData>
    <row r="2" spans="1:11">
      <c r="B2" t="s">
        <v>28</v>
      </c>
      <c r="C2" t="s">
        <v>29</v>
      </c>
      <c r="D2" s="54" t="s">
        <v>92</v>
      </c>
      <c r="E2" t="s">
        <v>31</v>
      </c>
      <c r="F2" t="s">
        <v>32</v>
      </c>
      <c r="G2" s="50" t="s">
        <v>40</v>
      </c>
      <c r="H2" t="s">
        <v>38</v>
      </c>
      <c r="I2" t="s">
        <v>39</v>
      </c>
      <c r="J2" s="50" t="s">
        <v>87</v>
      </c>
    </row>
    <row r="3" spans="1:11">
      <c r="A3" t="s">
        <v>35</v>
      </c>
      <c r="B3" s="27">
        <v>198000</v>
      </c>
      <c r="C3" s="28">
        <v>0.45</v>
      </c>
      <c r="D3" s="27">
        <v>440000</v>
      </c>
      <c r="E3" s="27">
        <f>B3*30%</f>
        <v>59400</v>
      </c>
      <c r="F3" s="27">
        <f>B3*0.5</f>
        <v>99000</v>
      </c>
      <c r="G3" s="27">
        <f>B3-E3-F3</f>
        <v>39600</v>
      </c>
      <c r="H3" s="27">
        <f>SUM(E3:G3)</f>
        <v>198000</v>
      </c>
      <c r="I3" s="27">
        <f>D3*C3</f>
        <v>198000</v>
      </c>
      <c r="J3" s="27">
        <f>B3-H3</f>
        <v>0</v>
      </c>
      <c r="K3">
        <f>+H3/B3</f>
        <v>1</v>
      </c>
    </row>
    <row r="4" spans="1:11">
      <c r="A4" t="s">
        <v>36</v>
      </c>
      <c r="B4" s="27">
        <v>59871.76</v>
      </c>
      <c r="C4" s="28">
        <v>0.4</v>
      </c>
      <c r="D4" s="27">
        <v>136885.54</v>
      </c>
      <c r="E4" s="27">
        <f>B4*0.3</f>
        <v>17961.527999999998</v>
      </c>
      <c r="F4" s="27">
        <v>29935.88</v>
      </c>
      <c r="G4" s="27">
        <f>I4-E4-F4</f>
        <v>6856.8080000000082</v>
      </c>
      <c r="H4" s="27">
        <f>SUM(E4:G4)</f>
        <v>54754.216</v>
      </c>
      <c r="I4" s="27">
        <f>D4*C4</f>
        <v>54754.216000000008</v>
      </c>
      <c r="J4" s="27">
        <f>B4-H4</f>
        <v>5117.5440000000017</v>
      </c>
      <c r="K4" s="50">
        <f>+H4/B4</f>
        <v>0.91452491124363133</v>
      </c>
    </row>
    <row r="6" spans="1:11">
      <c r="D6" s="27">
        <f>SUM(D3:D5)</f>
        <v>576885.54</v>
      </c>
      <c r="E6" s="27">
        <f>SUM(E3:E5)</f>
        <v>77361.527999999991</v>
      </c>
      <c r="H6" s="27">
        <f>SUM(H3:H4)</f>
        <v>252754.21600000001</v>
      </c>
      <c r="I6" s="27">
        <f>SUM(I3:I5)</f>
        <v>252754.21600000001</v>
      </c>
      <c r="J6" s="27">
        <f>J3+J4</f>
        <v>5117.5440000000017</v>
      </c>
    </row>
    <row r="7" spans="1:11">
      <c r="B7" s="27">
        <f>B3+B4</f>
        <v>257871.76</v>
      </c>
      <c r="J7" s="27">
        <f>J6-69700</f>
        <v>-64582.455999999998</v>
      </c>
    </row>
    <row r="9" spans="1:11">
      <c r="A9" s="50" t="s">
        <v>91</v>
      </c>
      <c r="B9" s="27">
        <v>61295</v>
      </c>
      <c r="C9">
        <f>D4*C4</f>
        <v>54754.216000000008</v>
      </c>
    </row>
    <row r="10" spans="1:11">
      <c r="B10" s="27">
        <v>66135</v>
      </c>
    </row>
    <row r="11" spans="1:11">
      <c r="B11" s="27">
        <f>B9+B10</f>
        <v>127430</v>
      </c>
    </row>
    <row r="15" spans="1:11">
      <c r="B15">
        <f>B4/2</f>
        <v>29935.88</v>
      </c>
    </row>
    <row r="18" spans="2:6">
      <c r="B18" s="27"/>
    </row>
    <row r="19" spans="2:6">
      <c r="B19" s="27">
        <f>B3*0.3</f>
        <v>59400</v>
      </c>
      <c r="D19">
        <f>B4*0.3</f>
        <v>17961.527999999998</v>
      </c>
      <c r="F19" s="27">
        <f>B4-E4</f>
        <v>41910.232000000004</v>
      </c>
    </row>
    <row r="20" spans="2:6">
      <c r="B20">
        <f>B3*0.5</f>
        <v>99000</v>
      </c>
      <c r="D20">
        <f>B4*0.5</f>
        <v>29935.88</v>
      </c>
    </row>
    <row r="25" spans="2:6">
      <c r="B25">
        <f>D4*0.4</f>
        <v>54754.216000000008</v>
      </c>
    </row>
    <row r="26" spans="2:6">
      <c r="B26">
        <f>B25*0.5</f>
        <v>27377.108000000004</v>
      </c>
    </row>
    <row r="29" spans="2:6">
      <c r="B29">
        <f>D4*0.4</f>
        <v>54754.216000000008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C31" sqref="C31"/>
    </sheetView>
  </sheetViews>
  <sheetFormatPr baseColWidth="10" defaultRowHeight="15"/>
  <cols>
    <col min="1" max="1" width="16" customWidth="1"/>
    <col min="2" max="2" width="12.85546875" bestFit="1" customWidth="1"/>
    <col min="3" max="3" width="15.5703125" customWidth="1"/>
    <col min="4" max="4" width="18" bestFit="1" customWidth="1"/>
    <col min="5" max="5" width="16.7109375" customWidth="1"/>
    <col min="6" max="6" width="12.85546875" bestFit="1" customWidth="1"/>
    <col min="7" max="7" width="11.85546875" bestFit="1" customWidth="1"/>
    <col min="8" max="8" width="18" bestFit="1" customWidth="1"/>
    <col min="9" max="9" width="13.28515625" bestFit="1" customWidth="1"/>
    <col min="12" max="12" width="18" bestFit="1" customWidth="1"/>
  </cols>
  <sheetData>
    <row r="1" spans="1:12" ht="21">
      <c r="A1" s="151" t="s">
        <v>54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3" spans="1:12">
      <c r="B3" s="34"/>
      <c r="C3" s="34"/>
      <c r="D3" s="34"/>
      <c r="E3" s="35"/>
    </row>
    <row r="4" spans="1:12" ht="15.75" thickBot="1">
      <c r="B4" s="21"/>
      <c r="C4" s="18"/>
      <c r="D4" s="18"/>
    </row>
    <row r="5" spans="1:12">
      <c r="A5" s="2"/>
      <c r="B5" s="152" t="s">
        <v>5</v>
      </c>
      <c r="C5" s="152"/>
      <c r="D5" s="152"/>
      <c r="E5" s="2"/>
      <c r="F5" s="152" t="s">
        <v>25</v>
      </c>
      <c r="G5" s="152"/>
      <c r="H5" s="152"/>
      <c r="I5" s="2"/>
      <c r="J5" s="152" t="s">
        <v>1</v>
      </c>
      <c r="K5" s="152"/>
      <c r="L5" s="153"/>
    </row>
    <row r="6" spans="1:12">
      <c r="A6" s="3"/>
      <c r="B6" s="19" t="s">
        <v>21</v>
      </c>
      <c r="C6" s="19" t="s">
        <v>3</v>
      </c>
      <c r="D6" s="19" t="s">
        <v>72</v>
      </c>
      <c r="E6" s="3"/>
      <c r="F6" s="19" t="s">
        <v>21</v>
      </c>
      <c r="G6" s="19" t="s">
        <v>3</v>
      </c>
      <c r="H6" s="19" t="s">
        <v>72</v>
      </c>
      <c r="I6" s="3"/>
      <c r="J6" s="19" t="s">
        <v>21</v>
      </c>
      <c r="K6" s="19" t="s">
        <v>3</v>
      </c>
      <c r="L6" s="38" t="s">
        <v>72</v>
      </c>
    </row>
    <row r="7" spans="1:12">
      <c r="A7" s="6" t="s">
        <v>6</v>
      </c>
      <c r="B7" s="7"/>
      <c r="C7" s="8">
        <f>SUM(C9:C18)</f>
        <v>407925.17000000004</v>
      </c>
      <c r="D7" s="8"/>
      <c r="E7" s="6" t="s">
        <v>6</v>
      </c>
      <c r="F7" s="7"/>
      <c r="G7" s="8">
        <f>SUM(G9:G18)</f>
        <v>13266.583333333334</v>
      </c>
      <c r="H7" s="8"/>
      <c r="I7" s="6" t="s">
        <v>6</v>
      </c>
      <c r="J7" s="7"/>
      <c r="K7" s="8">
        <f>SUM(K9:K18)</f>
        <v>925</v>
      </c>
      <c r="L7" s="9"/>
    </row>
    <row r="8" spans="1:12" ht="9" customHeight="1">
      <c r="A8" s="10"/>
      <c r="B8" s="11"/>
      <c r="C8" s="11"/>
      <c r="D8" s="11"/>
      <c r="E8" s="10"/>
      <c r="F8" s="11"/>
      <c r="G8" s="11"/>
      <c r="H8" s="11"/>
      <c r="I8" s="10"/>
      <c r="J8" s="11"/>
      <c r="K8" s="11"/>
      <c r="L8" s="12"/>
    </row>
    <row r="9" spans="1:12">
      <c r="A9" s="3" t="s">
        <v>26</v>
      </c>
      <c r="B9" s="25">
        <v>44704</v>
      </c>
      <c r="C9" s="21">
        <v>25734.6</v>
      </c>
      <c r="D9" s="40" t="s">
        <v>61</v>
      </c>
      <c r="E9" s="3" t="s">
        <v>7</v>
      </c>
      <c r="F9" s="25">
        <v>44736</v>
      </c>
      <c r="G9" s="21">
        <v>5239.416666666667</v>
      </c>
      <c r="H9" s="47" t="s">
        <v>68</v>
      </c>
      <c r="I9" s="3" t="s">
        <v>7</v>
      </c>
      <c r="J9" s="29">
        <v>44795</v>
      </c>
      <c r="K9" s="21">
        <v>925</v>
      </c>
      <c r="L9" s="13" t="s">
        <v>71</v>
      </c>
    </row>
    <row r="10" spans="1:12">
      <c r="A10" s="3" t="s">
        <v>7</v>
      </c>
      <c r="B10" s="25">
        <v>44704</v>
      </c>
      <c r="C10" s="21">
        <v>58880</v>
      </c>
      <c r="D10" s="39" t="s">
        <v>60</v>
      </c>
      <c r="E10" s="3" t="s">
        <v>8</v>
      </c>
      <c r="F10" s="25">
        <v>44795</v>
      </c>
      <c r="G10" s="21">
        <v>2350.5</v>
      </c>
      <c r="H10" s="48" t="s">
        <v>69</v>
      </c>
      <c r="I10" s="3"/>
      <c r="J10" s="4"/>
      <c r="K10" s="4"/>
      <c r="L10" s="13"/>
    </row>
    <row r="11" spans="1:12">
      <c r="A11" s="3" t="s">
        <v>8</v>
      </c>
      <c r="B11" s="25">
        <v>44736</v>
      </c>
      <c r="C11" s="21">
        <v>44681.58</v>
      </c>
      <c r="D11" s="41" t="s">
        <v>62</v>
      </c>
      <c r="E11" s="3" t="s">
        <v>9</v>
      </c>
      <c r="F11" s="25">
        <v>44795</v>
      </c>
      <c r="G11" s="21">
        <v>5676.666666666667</v>
      </c>
      <c r="H11" s="49" t="s">
        <v>70</v>
      </c>
      <c r="I11" s="3"/>
      <c r="J11" s="4"/>
      <c r="K11" s="4"/>
      <c r="L11" s="13"/>
    </row>
    <row r="12" spans="1:12">
      <c r="A12" s="3" t="s">
        <v>9</v>
      </c>
      <c r="B12" s="25">
        <v>44796</v>
      </c>
      <c r="C12" s="21">
        <v>52971.500000000007</v>
      </c>
      <c r="D12" s="42" t="s">
        <v>63</v>
      </c>
      <c r="E12" s="3"/>
      <c r="F12" s="25"/>
      <c r="G12" s="21"/>
      <c r="H12" s="21"/>
      <c r="I12" s="3"/>
      <c r="J12" s="4"/>
      <c r="K12" s="4"/>
      <c r="L12" s="13"/>
    </row>
    <row r="13" spans="1:12">
      <c r="A13" s="3" t="s">
        <v>10</v>
      </c>
      <c r="B13" s="25">
        <v>44796</v>
      </c>
      <c r="C13" s="21">
        <v>52608.333333333336</v>
      </c>
      <c r="D13" s="43" t="s">
        <v>64</v>
      </c>
      <c r="E13" s="3"/>
      <c r="F13" s="25"/>
      <c r="G13" s="21"/>
      <c r="H13" s="21"/>
      <c r="I13" s="3"/>
      <c r="J13" s="4"/>
      <c r="K13" s="4"/>
      <c r="L13" s="13"/>
    </row>
    <row r="14" spans="1:12">
      <c r="A14" s="3" t="s">
        <v>11</v>
      </c>
      <c r="B14" s="25">
        <v>44820</v>
      </c>
      <c r="C14" s="21">
        <v>39550</v>
      </c>
      <c r="D14" s="44" t="s">
        <v>65</v>
      </c>
      <c r="E14" s="3"/>
      <c r="F14" s="25"/>
      <c r="G14" s="21"/>
      <c r="H14" s="21"/>
      <c r="I14" s="3"/>
      <c r="J14" s="4"/>
      <c r="K14" s="4"/>
      <c r="L14" s="13"/>
    </row>
    <row r="15" spans="1:12">
      <c r="A15" s="3" t="s">
        <v>53</v>
      </c>
      <c r="B15" s="25">
        <v>44820</v>
      </c>
      <c r="C15" s="21">
        <v>15036.866666666669</v>
      </c>
      <c r="D15" s="46" t="s">
        <v>67</v>
      </c>
      <c r="E15" s="3"/>
      <c r="F15" s="25"/>
      <c r="G15" s="21"/>
      <c r="H15" s="21"/>
      <c r="I15" s="3"/>
      <c r="J15" s="4"/>
      <c r="K15" s="4"/>
      <c r="L15" s="13"/>
    </row>
    <row r="16" spans="1:12">
      <c r="A16" s="3" t="s">
        <v>12</v>
      </c>
      <c r="B16" s="25">
        <v>44840</v>
      </c>
      <c r="C16" s="21">
        <v>118462.29000000001</v>
      </c>
      <c r="D16" s="45" t="s">
        <v>66</v>
      </c>
      <c r="E16" s="3"/>
      <c r="F16" s="4"/>
      <c r="G16" s="21"/>
      <c r="H16" s="21"/>
      <c r="I16" s="3"/>
      <c r="J16" s="4"/>
      <c r="K16" s="4"/>
      <c r="L16" s="13"/>
    </row>
    <row r="17" spans="1:12" ht="15.75" thickBot="1">
      <c r="A17" s="14"/>
      <c r="B17" s="26"/>
      <c r="C17" s="23"/>
      <c r="D17" s="23"/>
      <c r="E17" s="14"/>
      <c r="F17" s="15"/>
      <c r="G17" s="23"/>
      <c r="H17" s="23"/>
      <c r="I17" s="14"/>
      <c r="J17" s="15"/>
      <c r="K17" s="15"/>
      <c r="L17" s="16"/>
    </row>
    <row r="20" spans="1:12" ht="15.75">
      <c r="B20" s="36" t="s">
        <v>55</v>
      </c>
      <c r="C20" s="36" t="s">
        <v>3</v>
      </c>
      <c r="D20" s="37">
        <f>C7+G7+K7</f>
        <v>422116.75333333336</v>
      </c>
      <c r="G20" s="27"/>
      <c r="H20" s="27"/>
    </row>
    <row r="21" spans="1:12">
      <c r="G21" s="27"/>
      <c r="H21" s="27"/>
    </row>
    <row r="23" spans="1:12">
      <c r="A23" s="27" t="s">
        <v>56</v>
      </c>
    </row>
    <row r="24" spans="1:12">
      <c r="A24" s="27"/>
      <c r="B24" s="18"/>
    </row>
    <row r="25" spans="1:12">
      <c r="A25" t="s">
        <v>57</v>
      </c>
      <c r="E25" s="50"/>
      <c r="F25" s="50" t="s">
        <v>59</v>
      </c>
    </row>
    <row r="26" spans="1:12">
      <c r="A26" t="s">
        <v>58</v>
      </c>
    </row>
    <row r="29" spans="1:12">
      <c r="C29">
        <f>C9*1.2</f>
        <v>30881.519999999997</v>
      </c>
    </row>
    <row r="30" spans="1:12">
      <c r="C30" s="27">
        <f>C29-C9</f>
        <v>5146.9199999999983</v>
      </c>
    </row>
  </sheetData>
  <mergeCells count="4">
    <mergeCell ref="B5:D5"/>
    <mergeCell ref="F5:H5"/>
    <mergeCell ref="J5:L5"/>
    <mergeCell ref="A1:L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P44"/>
  <sheetViews>
    <sheetView workbookViewId="0">
      <selection activeCell="D12" sqref="D12"/>
    </sheetView>
  </sheetViews>
  <sheetFormatPr baseColWidth="10" defaultRowHeight="15"/>
  <cols>
    <col min="1" max="1" width="20.85546875" style="50" bestFit="1" customWidth="1"/>
    <col min="2" max="2" width="7.5703125" style="50" customWidth="1"/>
    <col min="3" max="3" width="10.7109375" style="50" customWidth="1"/>
    <col min="4" max="4" width="18.140625" style="50" customWidth="1"/>
    <col min="5" max="5" width="19" style="50" customWidth="1"/>
    <col min="6" max="6" width="13.5703125" style="50" customWidth="1"/>
    <col min="7" max="7" width="12.28515625" style="50" customWidth="1"/>
    <col min="8" max="8" width="12" style="50" bestFit="1" customWidth="1"/>
    <col min="9" max="9" width="12.28515625" style="50" bestFit="1" customWidth="1"/>
    <col min="10" max="10" width="12.42578125" style="50" bestFit="1" customWidth="1"/>
    <col min="11" max="11" width="12.140625" style="50" customWidth="1"/>
    <col min="12" max="13" width="11.7109375" style="50" customWidth="1"/>
    <col min="14" max="14" width="12" style="50" bestFit="1" customWidth="1"/>
    <col min="15" max="15" width="12.42578125" style="50" bestFit="1" customWidth="1"/>
    <col min="16" max="16" width="11.7109375" style="50" bestFit="1" customWidth="1"/>
    <col min="17" max="17" width="11.42578125" style="50" customWidth="1"/>
    <col min="18" max="18" width="12.42578125" style="50" customWidth="1"/>
    <col min="19" max="19" width="10.28515625" style="50" bestFit="1" customWidth="1"/>
    <col min="20" max="20" width="7.140625" style="50" bestFit="1" customWidth="1"/>
    <col min="21" max="21" width="12" style="50" bestFit="1" customWidth="1"/>
    <col min="22" max="22" width="11.28515625" style="50" bestFit="1" customWidth="1"/>
    <col min="23" max="23" width="11" style="50" customWidth="1"/>
    <col min="24" max="24" width="12.5703125" style="50" customWidth="1"/>
    <col min="25" max="25" width="10.28515625" style="50" bestFit="1" customWidth="1"/>
    <col min="26" max="26" width="7.5703125" style="50" bestFit="1" customWidth="1"/>
    <col min="27" max="27" width="10.28515625" style="50" bestFit="1" customWidth="1"/>
    <col min="28" max="28" width="10.7109375" style="50" bestFit="1" customWidth="1"/>
    <col min="29" max="29" width="10.7109375" style="50" customWidth="1"/>
    <col min="30" max="31" width="13.5703125" style="50" customWidth="1"/>
    <col min="32" max="32" width="11.42578125" style="50"/>
    <col min="33" max="33" width="10.85546875" style="50" bestFit="1" customWidth="1"/>
    <col min="34" max="34" width="11.5703125" style="50" bestFit="1" customWidth="1"/>
    <col min="35" max="35" width="11.5703125" style="50" customWidth="1"/>
    <col min="36" max="36" width="13.42578125" style="50" customWidth="1"/>
    <col min="37" max="37" width="10.28515625" style="50" bestFit="1" customWidth="1"/>
    <col min="38" max="38" width="11.42578125" style="50"/>
    <col min="39" max="39" width="10.7109375" style="50" bestFit="1" customWidth="1"/>
    <col min="40" max="41" width="11.42578125" style="50"/>
    <col min="42" max="42" width="11.85546875" style="50" customWidth="1"/>
    <col min="43" max="16384" width="11.42578125" style="50"/>
  </cols>
  <sheetData>
    <row r="1" spans="1:42" ht="23.25">
      <c r="A1" s="162" t="s">
        <v>94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</row>
    <row r="3" spans="1:42">
      <c r="C3" s="34"/>
      <c r="D3" s="34"/>
      <c r="E3" s="34"/>
      <c r="F3" s="34"/>
      <c r="G3" s="34"/>
      <c r="H3" s="35"/>
    </row>
    <row r="4" spans="1:42" ht="15.75" thickBot="1">
      <c r="C4" s="21"/>
      <c r="D4" s="18"/>
      <c r="E4" s="18"/>
      <c r="F4" s="18"/>
      <c r="G4" s="18"/>
    </row>
    <row r="5" spans="1:42" ht="15.75" thickTop="1">
      <c r="A5" s="172" t="s">
        <v>5</v>
      </c>
      <c r="B5" s="173"/>
      <c r="C5" s="173"/>
      <c r="D5" s="173"/>
      <c r="E5" s="173"/>
      <c r="F5" s="174"/>
      <c r="G5" s="165" t="s">
        <v>25</v>
      </c>
      <c r="H5" s="166"/>
      <c r="I5" s="166"/>
      <c r="J5" s="166"/>
      <c r="K5" s="166"/>
      <c r="L5" s="167"/>
      <c r="M5" s="165" t="s">
        <v>1</v>
      </c>
      <c r="N5" s="166"/>
      <c r="O5" s="166"/>
      <c r="P5" s="166"/>
      <c r="Q5" s="166"/>
      <c r="R5" s="167"/>
      <c r="S5" s="159" t="s">
        <v>95</v>
      </c>
      <c r="T5" s="160"/>
      <c r="U5" s="160"/>
      <c r="V5" s="160"/>
      <c r="W5" s="160"/>
      <c r="X5" s="161"/>
    </row>
    <row r="6" spans="1:42" ht="32.25" customHeight="1">
      <c r="A6" s="79" t="s">
        <v>138</v>
      </c>
      <c r="B6" s="80"/>
      <c r="C6" s="81" t="s">
        <v>21</v>
      </c>
      <c r="D6" s="81" t="s">
        <v>3</v>
      </c>
      <c r="E6" s="81" t="s">
        <v>4</v>
      </c>
      <c r="F6" s="82" t="s">
        <v>129</v>
      </c>
      <c r="G6" s="95" t="s">
        <v>138</v>
      </c>
      <c r="H6" s="80"/>
      <c r="I6" s="81" t="s">
        <v>21</v>
      </c>
      <c r="J6" s="81" t="s">
        <v>3</v>
      </c>
      <c r="K6" s="81" t="s">
        <v>4</v>
      </c>
      <c r="L6" s="82" t="s">
        <v>129</v>
      </c>
      <c r="M6" s="95" t="s">
        <v>138</v>
      </c>
      <c r="N6" s="80"/>
      <c r="O6" s="81" t="s">
        <v>21</v>
      </c>
      <c r="P6" s="81" t="s">
        <v>3</v>
      </c>
      <c r="Q6" s="81" t="s">
        <v>4</v>
      </c>
      <c r="R6" s="82" t="s">
        <v>129</v>
      </c>
      <c r="S6" s="101" t="s">
        <v>138</v>
      </c>
      <c r="T6" s="102"/>
      <c r="U6" s="87" t="s">
        <v>21</v>
      </c>
      <c r="V6" s="87" t="s">
        <v>3</v>
      </c>
      <c r="W6" s="87" t="s">
        <v>4</v>
      </c>
      <c r="X6" s="103" t="s">
        <v>129</v>
      </c>
    </row>
    <row r="7" spans="1:42" ht="9" customHeight="1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5"/>
      <c r="M7" s="83"/>
      <c r="N7" s="84"/>
      <c r="O7" s="84"/>
      <c r="P7" s="84"/>
      <c r="Q7" s="84"/>
      <c r="R7" s="85"/>
      <c r="S7" s="83"/>
      <c r="T7" s="84"/>
      <c r="U7" s="84"/>
      <c r="V7" s="84"/>
      <c r="W7" s="84"/>
      <c r="X7" s="85"/>
    </row>
    <row r="8" spans="1:42">
      <c r="A8" s="86" t="s">
        <v>136</v>
      </c>
      <c r="B8" s="87" t="s">
        <v>102</v>
      </c>
      <c r="C8" s="88">
        <v>44875</v>
      </c>
      <c r="D8" s="89">
        <f>E8-18374.1</f>
        <v>54063.98</v>
      </c>
      <c r="E8" s="89">
        <v>72438.080000000002</v>
      </c>
      <c r="F8" s="90" t="s">
        <v>96</v>
      </c>
      <c r="G8" s="96" t="s">
        <v>142</v>
      </c>
      <c r="H8" s="87" t="s">
        <v>104</v>
      </c>
      <c r="I8" s="88">
        <v>44875</v>
      </c>
      <c r="J8" s="89">
        <v>2976</v>
      </c>
      <c r="K8" s="89">
        <f>J8</f>
        <v>2976</v>
      </c>
      <c r="L8" s="91" t="s">
        <v>98</v>
      </c>
      <c r="M8" s="97" t="s">
        <v>143</v>
      </c>
      <c r="N8" s="87" t="s">
        <v>105</v>
      </c>
      <c r="O8" s="88">
        <v>44935</v>
      </c>
      <c r="P8" s="89">
        <v>17608.88</v>
      </c>
      <c r="Q8" s="89">
        <f>P8</f>
        <v>17608.88</v>
      </c>
      <c r="R8" s="91" t="s">
        <v>99</v>
      </c>
      <c r="S8" s="97"/>
      <c r="T8" s="87" t="s">
        <v>106</v>
      </c>
      <c r="U8" s="88">
        <v>44936</v>
      </c>
      <c r="V8" s="89">
        <v>25814.71</v>
      </c>
      <c r="W8" s="89">
        <f>V8*1.2</f>
        <v>30977.651999999998</v>
      </c>
      <c r="X8" s="91" t="s">
        <v>100</v>
      </c>
    </row>
    <row r="9" spans="1:42">
      <c r="A9" s="86" t="s">
        <v>137</v>
      </c>
      <c r="B9" s="87" t="s">
        <v>103</v>
      </c>
      <c r="C9" s="88">
        <v>44935</v>
      </c>
      <c r="D9" s="89">
        <v>43686.12</v>
      </c>
      <c r="E9" s="89">
        <v>55945.120000000003</v>
      </c>
      <c r="F9" s="91" t="s">
        <v>97</v>
      </c>
      <c r="G9" s="97"/>
      <c r="H9" s="87"/>
      <c r="I9" s="88"/>
      <c r="J9" s="89"/>
      <c r="K9" s="89"/>
      <c r="L9" s="92"/>
      <c r="M9" s="98" t="s">
        <v>144</v>
      </c>
      <c r="N9" s="87" t="s">
        <v>128</v>
      </c>
      <c r="O9" s="88">
        <v>45168</v>
      </c>
      <c r="P9" s="89">
        <f>Q9</f>
        <v>3945.5</v>
      </c>
      <c r="Q9" s="89">
        <v>3945.5</v>
      </c>
      <c r="R9" s="92" t="s">
        <v>135</v>
      </c>
      <c r="S9" s="98"/>
      <c r="T9" s="87"/>
      <c r="U9" s="87"/>
      <c r="V9" s="87"/>
      <c r="W9" s="87"/>
      <c r="X9" s="92"/>
    </row>
    <row r="10" spans="1:42">
      <c r="A10" s="86">
        <v>6000203121</v>
      </c>
      <c r="B10" s="87" t="s">
        <v>128</v>
      </c>
      <c r="C10" s="88">
        <v>45168</v>
      </c>
      <c r="D10" s="89">
        <f>38997.97</f>
        <v>38997.97</v>
      </c>
      <c r="E10" s="89">
        <v>40584.160000000003</v>
      </c>
      <c r="F10" s="92" t="s">
        <v>134</v>
      </c>
      <c r="G10" s="98"/>
      <c r="H10" s="87"/>
      <c r="I10" s="88"/>
      <c r="J10" s="89"/>
      <c r="K10" s="89"/>
      <c r="L10" s="92"/>
      <c r="M10" s="98" t="s">
        <v>145</v>
      </c>
      <c r="N10" s="87" t="s">
        <v>128</v>
      </c>
      <c r="O10" s="88">
        <v>45168</v>
      </c>
      <c r="P10" s="89">
        <f>Q10</f>
        <v>2267.9</v>
      </c>
      <c r="Q10" s="89">
        <v>2267.9</v>
      </c>
      <c r="R10" s="92" t="s">
        <v>135</v>
      </c>
      <c r="S10" s="98"/>
      <c r="T10" s="87"/>
      <c r="U10" s="87"/>
      <c r="V10" s="87"/>
      <c r="W10" s="87"/>
      <c r="X10" s="92"/>
    </row>
    <row r="11" spans="1:42">
      <c r="A11" s="86"/>
      <c r="B11" s="87"/>
      <c r="C11" s="88"/>
      <c r="D11" s="89"/>
      <c r="E11" s="89"/>
      <c r="F11" s="93" t="s">
        <v>141</v>
      </c>
      <c r="G11" s="99"/>
      <c r="H11" s="87"/>
      <c r="I11" s="88"/>
      <c r="J11" s="89"/>
      <c r="K11" s="89"/>
      <c r="L11" s="92"/>
      <c r="M11" s="98"/>
      <c r="N11" s="87"/>
      <c r="O11" s="87"/>
      <c r="P11" s="87"/>
      <c r="Q11" s="87"/>
      <c r="R11" s="92"/>
      <c r="S11" s="98"/>
      <c r="T11" s="87"/>
      <c r="U11" s="87"/>
      <c r="V11" s="87"/>
      <c r="W11" s="87"/>
      <c r="X11" s="92"/>
    </row>
    <row r="12" spans="1:42">
      <c r="A12" s="86"/>
      <c r="B12" s="171" t="s">
        <v>108</v>
      </c>
      <c r="C12" s="171"/>
      <c r="D12" s="89">
        <f>2568+1843.5+76692+4770+7760</f>
        <v>93633.5</v>
      </c>
      <c r="E12" s="89"/>
      <c r="F12" s="92"/>
      <c r="G12" s="98"/>
      <c r="H12" s="87"/>
      <c r="I12" s="88"/>
      <c r="J12" s="89"/>
      <c r="K12" s="89"/>
      <c r="L12" s="91"/>
      <c r="M12" s="97"/>
      <c r="N12" s="87"/>
      <c r="O12" s="87"/>
      <c r="P12" s="87"/>
      <c r="Q12" s="87"/>
      <c r="R12" s="92"/>
      <c r="S12" s="98"/>
      <c r="T12" s="87"/>
      <c r="U12" s="87"/>
      <c r="V12" s="87"/>
      <c r="W12" s="87"/>
      <c r="X12" s="92"/>
    </row>
    <row r="13" spans="1:42" ht="15.75" thickBot="1">
      <c r="A13" s="157" t="s">
        <v>139</v>
      </c>
      <c r="B13" s="158"/>
      <c r="C13" s="158"/>
      <c r="D13" s="131">
        <f>SUM(D8:D10)-D12</f>
        <v>43114.570000000007</v>
      </c>
      <c r="E13" s="131">
        <f>D13*1.2</f>
        <v>51737.484000000004</v>
      </c>
      <c r="F13" s="94"/>
      <c r="G13" s="157" t="s">
        <v>6</v>
      </c>
      <c r="H13" s="158"/>
      <c r="I13" s="158"/>
      <c r="J13" s="132">
        <f>SUM(J8:J12)</f>
        <v>2976</v>
      </c>
      <c r="K13" s="132">
        <f>SUM(K8:K12)</f>
        <v>2976</v>
      </c>
      <c r="L13" s="94"/>
      <c r="M13" s="163" t="s">
        <v>6</v>
      </c>
      <c r="N13" s="164"/>
      <c r="O13" s="164"/>
      <c r="P13" s="131">
        <f>SUM(P8:P12)</f>
        <v>23822.280000000002</v>
      </c>
      <c r="Q13" s="131">
        <f>SUM(Q8:Q12)</f>
        <v>23822.280000000002</v>
      </c>
      <c r="R13" s="100"/>
      <c r="S13" s="157" t="s">
        <v>6</v>
      </c>
      <c r="T13" s="158"/>
      <c r="U13" s="158"/>
      <c r="V13" s="131">
        <f>SUM(V8:V12)</f>
        <v>25814.71</v>
      </c>
      <c r="W13" s="131">
        <f>SUM(W8:W12)</f>
        <v>30977.651999999998</v>
      </c>
      <c r="X13" s="100"/>
    </row>
    <row r="14" spans="1:42" ht="15.75" thickTop="1"/>
    <row r="15" spans="1:42" ht="15.75" thickBot="1">
      <c r="F15" s="27"/>
      <c r="G15" s="27"/>
      <c r="J15" s="27"/>
      <c r="K15" s="27"/>
      <c r="L15" s="27"/>
      <c r="M15" s="27"/>
      <c r="N15" s="4"/>
      <c r="O15" s="4"/>
      <c r="P15" s="21"/>
      <c r="Q15" s="21"/>
      <c r="R15" s="25"/>
      <c r="S15" s="25"/>
      <c r="T15" s="30"/>
      <c r="U15" s="21"/>
      <c r="V15" s="21"/>
      <c r="W15" s="21"/>
      <c r="X15" s="4"/>
    </row>
    <row r="16" spans="1:42" ht="15.75" thickTop="1">
      <c r="A16" s="168" t="s">
        <v>52</v>
      </c>
      <c r="B16" s="169"/>
      <c r="C16" s="169"/>
      <c r="D16" s="169"/>
      <c r="E16" s="169"/>
      <c r="F16" s="170"/>
      <c r="G16" s="159" t="s">
        <v>109</v>
      </c>
      <c r="H16" s="160"/>
      <c r="I16" s="160"/>
      <c r="J16" s="160"/>
      <c r="K16" s="160"/>
      <c r="L16" s="161"/>
      <c r="M16" s="159" t="s">
        <v>110</v>
      </c>
      <c r="N16" s="160"/>
      <c r="O16" s="160"/>
      <c r="P16" s="160"/>
      <c r="Q16" s="160"/>
      <c r="R16" s="161"/>
      <c r="S16" s="25"/>
      <c r="T16" s="30"/>
      <c r="U16" s="21"/>
      <c r="V16" s="21"/>
      <c r="W16" s="21"/>
      <c r="X16" s="4"/>
      <c r="Y16" s="4"/>
      <c r="Z16" s="4"/>
      <c r="AA16" s="4"/>
      <c r="AB16" s="4"/>
      <c r="AC16" s="4"/>
      <c r="AD16" s="4"/>
      <c r="AE16" s="4"/>
      <c r="AF16" s="4"/>
      <c r="AN16" s="27"/>
      <c r="AO16" s="27"/>
    </row>
    <row r="17" spans="1:32" ht="31.5">
      <c r="A17" s="101" t="s">
        <v>138</v>
      </c>
      <c r="B17" s="102"/>
      <c r="C17" s="87" t="s">
        <v>21</v>
      </c>
      <c r="D17" s="87" t="s">
        <v>3</v>
      </c>
      <c r="E17" s="87" t="s">
        <v>4</v>
      </c>
      <c r="F17" s="103" t="s">
        <v>129</v>
      </c>
      <c r="G17" s="101" t="s">
        <v>138</v>
      </c>
      <c r="H17" s="102"/>
      <c r="I17" s="87" t="s">
        <v>21</v>
      </c>
      <c r="J17" s="87" t="s">
        <v>3</v>
      </c>
      <c r="K17" s="87" t="s">
        <v>4</v>
      </c>
      <c r="L17" s="103" t="s">
        <v>129</v>
      </c>
      <c r="M17" s="101" t="s">
        <v>138</v>
      </c>
      <c r="N17" s="102"/>
      <c r="O17" s="87" t="s">
        <v>21</v>
      </c>
      <c r="P17" s="87" t="s">
        <v>3</v>
      </c>
      <c r="Q17" s="87" t="s">
        <v>4</v>
      </c>
      <c r="R17" s="103" t="s">
        <v>129</v>
      </c>
      <c r="S17" s="25"/>
      <c r="T17" s="30"/>
      <c r="U17" s="21"/>
      <c r="V17" s="21"/>
      <c r="W17" s="21"/>
      <c r="X17" s="4"/>
      <c r="Y17" s="4"/>
      <c r="Z17" s="4"/>
      <c r="AA17" s="4"/>
      <c r="AB17" s="4"/>
      <c r="AC17" s="4"/>
      <c r="AD17" s="4"/>
      <c r="AE17" s="4"/>
      <c r="AF17" s="4"/>
    </row>
    <row r="18" spans="1:32">
      <c r="A18" s="83"/>
      <c r="B18" s="84"/>
      <c r="C18" s="84"/>
      <c r="D18" s="84"/>
      <c r="E18" s="84"/>
      <c r="F18" s="85"/>
      <c r="G18" s="83"/>
      <c r="H18" s="84"/>
      <c r="I18" s="84"/>
      <c r="J18" s="84"/>
      <c r="K18" s="84"/>
      <c r="L18" s="85"/>
      <c r="M18" s="83"/>
      <c r="N18" s="84"/>
      <c r="O18" s="84"/>
      <c r="P18" s="84"/>
      <c r="Q18" s="84"/>
      <c r="R18" s="85"/>
      <c r="S18" s="25"/>
      <c r="T18" s="30"/>
      <c r="U18" s="21"/>
      <c r="V18" s="21"/>
      <c r="W18" s="21"/>
      <c r="X18" s="4"/>
      <c r="Y18" s="4"/>
      <c r="Z18" s="4"/>
      <c r="AA18" s="21"/>
      <c r="AB18" s="25"/>
      <c r="AC18" s="25"/>
      <c r="AD18" s="21"/>
      <c r="AE18" s="21"/>
      <c r="AF18" s="21"/>
    </row>
    <row r="19" spans="1:32">
      <c r="A19" s="97" t="s">
        <v>146</v>
      </c>
      <c r="B19" s="87" t="s">
        <v>107</v>
      </c>
      <c r="C19" s="88">
        <v>44875</v>
      </c>
      <c r="D19" s="89">
        <v>3949</v>
      </c>
      <c r="E19" s="89">
        <f>D19</f>
        <v>3949</v>
      </c>
      <c r="F19" s="91" t="s">
        <v>101</v>
      </c>
      <c r="G19" s="97" t="s">
        <v>147</v>
      </c>
      <c r="H19" s="104" t="s">
        <v>41</v>
      </c>
      <c r="I19" s="105">
        <v>44175</v>
      </c>
      <c r="J19" s="89">
        <v>3120</v>
      </c>
      <c r="K19" s="89">
        <f t="shared" ref="K19:K27" si="0">J19*1.2</f>
        <v>3744</v>
      </c>
      <c r="L19" s="91" t="s">
        <v>119</v>
      </c>
      <c r="M19" s="97" t="s">
        <v>156</v>
      </c>
      <c r="N19" s="104" t="s">
        <v>41</v>
      </c>
      <c r="O19" s="105">
        <v>44489</v>
      </c>
      <c r="P19" s="89">
        <v>1050</v>
      </c>
      <c r="Q19" s="89">
        <f>P19*1.2</f>
        <v>1260</v>
      </c>
      <c r="R19" s="91" t="s">
        <v>116</v>
      </c>
      <c r="S19" s="25"/>
      <c r="T19" s="30"/>
      <c r="U19" s="21"/>
      <c r="V19" s="21"/>
      <c r="W19" s="21"/>
      <c r="X19" s="4"/>
      <c r="Y19" s="4"/>
      <c r="Z19" s="4"/>
      <c r="AA19" s="21"/>
      <c r="AB19" s="25"/>
      <c r="AC19" s="25"/>
      <c r="AD19" s="21"/>
      <c r="AE19" s="21"/>
      <c r="AF19" s="21"/>
    </row>
    <row r="20" spans="1:32">
      <c r="A20" s="98"/>
      <c r="B20" s="87"/>
      <c r="C20" s="87"/>
      <c r="D20" s="87"/>
      <c r="E20" s="87"/>
      <c r="F20" s="92"/>
      <c r="G20" s="98" t="s">
        <v>148</v>
      </c>
      <c r="H20" s="104" t="s">
        <v>41</v>
      </c>
      <c r="I20" s="105">
        <v>44245</v>
      </c>
      <c r="J20" s="89">
        <v>780</v>
      </c>
      <c r="K20" s="89">
        <f t="shared" si="0"/>
        <v>936</v>
      </c>
      <c r="L20" s="92" t="s">
        <v>120</v>
      </c>
      <c r="M20" s="98"/>
      <c r="N20" s="87"/>
      <c r="O20" s="105"/>
      <c r="P20" s="89"/>
      <c r="Q20" s="89"/>
      <c r="R20" s="92"/>
      <c r="S20" s="25"/>
      <c r="T20" s="30"/>
      <c r="U20" s="21"/>
      <c r="V20" s="21"/>
      <c r="W20" s="21"/>
      <c r="X20" s="4"/>
      <c r="Y20" s="4"/>
      <c r="Z20" s="4"/>
      <c r="AA20" s="21"/>
      <c r="AB20" s="25"/>
      <c r="AC20" s="25"/>
      <c r="AD20" s="21"/>
      <c r="AE20" s="21"/>
      <c r="AF20" s="21"/>
    </row>
    <row r="21" spans="1:32">
      <c r="A21" s="98"/>
      <c r="B21" s="87"/>
      <c r="C21" s="87"/>
      <c r="D21" s="87"/>
      <c r="E21" s="87"/>
      <c r="F21" s="92"/>
      <c r="G21" s="98" t="s">
        <v>149</v>
      </c>
      <c r="H21" s="102" t="s">
        <v>42</v>
      </c>
      <c r="I21" s="105">
        <v>44453</v>
      </c>
      <c r="J21" s="89">
        <v>1312.5</v>
      </c>
      <c r="K21" s="89">
        <f t="shared" si="0"/>
        <v>1575</v>
      </c>
      <c r="L21" s="92" t="s">
        <v>121</v>
      </c>
      <c r="M21" s="98" t="s">
        <v>156</v>
      </c>
      <c r="N21" s="102" t="s">
        <v>42</v>
      </c>
      <c r="O21" s="105">
        <v>44489</v>
      </c>
      <c r="P21" s="89">
        <v>1250</v>
      </c>
      <c r="Q21" s="89">
        <f>P21*1.2</f>
        <v>1500</v>
      </c>
      <c r="R21" s="92" t="s">
        <v>116</v>
      </c>
      <c r="S21" s="25"/>
      <c r="T21" s="30"/>
      <c r="U21" s="21"/>
      <c r="V21" s="21"/>
      <c r="W21" s="21"/>
      <c r="X21" s="4"/>
      <c r="Y21" s="4"/>
      <c r="Z21" s="4"/>
      <c r="AA21" s="21"/>
      <c r="AB21" s="25"/>
      <c r="AC21" s="25"/>
      <c r="AD21" s="21"/>
      <c r="AE21" s="21"/>
      <c r="AF21" s="21"/>
    </row>
    <row r="22" spans="1:32">
      <c r="A22" s="98"/>
      <c r="B22" s="87"/>
      <c r="C22" s="87"/>
      <c r="D22" s="87"/>
      <c r="E22" s="87"/>
      <c r="F22" s="92"/>
      <c r="G22" s="98" t="s">
        <v>150</v>
      </c>
      <c r="H22" s="102" t="s">
        <v>42</v>
      </c>
      <c r="I22" s="105">
        <v>44508</v>
      </c>
      <c r="J22" s="89">
        <v>3062.5</v>
      </c>
      <c r="K22" s="89">
        <f t="shared" si="0"/>
        <v>3675</v>
      </c>
      <c r="L22" s="92" t="s">
        <v>122</v>
      </c>
      <c r="M22" s="98"/>
      <c r="N22" s="102"/>
      <c r="O22" s="105"/>
      <c r="P22" s="89"/>
      <c r="Q22" s="89"/>
      <c r="R22" s="92"/>
      <c r="S22" s="25"/>
      <c r="T22" s="30"/>
      <c r="U22" s="21"/>
      <c r="V22" s="21"/>
      <c r="W22" s="21"/>
      <c r="X22" s="4"/>
      <c r="Y22" s="4"/>
      <c r="Z22" s="4"/>
      <c r="AA22" s="21"/>
      <c r="AB22" s="25"/>
      <c r="AC22" s="25"/>
      <c r="AD22" s="21"/>
      <c r="AE22" s="21"/>
      <c r="AF22" s="21"/>
    </row>
    <row r="23" spans="1:32">
      <c r="A23" s="98"/>
      <c r="B23" s="87"/>
      <c r="C23" s="87"/>
      <c r="D23" s="87"/>
      <c r="E23" s="87"/>
      <c r="F23" s="92"/>
      <c r="G23" s="98" t="s">
        <v>151</v>
      </c>
      <c r="H23" s="102" t="s">
        <v>43</v>
      </c>
      <c r="I23" s="105">
        <v>44631</v>
      </c>
      <c r="J23" s="89">
        <v>1275</v>
      </c>
      <c r="K23" s="89">
        <f t="shared" si="0"/>
        <v>1530</v>
      </c>
      <c r="L23" s="92" t="s">
        <v>123</v>
      </c>
      <c r="M23" s="98"/>
      <c r="N23" s="102"/>
      <c r="O23" s="105"/>
      <c r="P23" s="89"/>
      <c r="Q23" s="89"/>
      <c r="R23" s="92"/>
      <c r="S23" s="25"/>
      <c r="T23" s="30"/>
      <c r="U23" s="21"/>
      <c r="V23" s="21"/>
      <c r="W23" s="21"/>
      <c r="X23" s="4"/>
      <c r="Y23" s="4"/>
      <c r="Z23" s="4"/>
      <c r="AA23" s="21"/>
      <c r="AB23" s="25"/>
      <c r="AC23" s="25"/>
      <c r="AD23" s="21"/>
      <c r="AE23" s="21"/>
      <c r="AF23" s="21"/>
    </row>
    <row r="24" spans="1:32">
      <c r="A24" s="98"/>
      <c r="B24" s="87"/>
      <c r="C24" s="87"/>
      <c r="D24" s="87"/>
      <c r="E24" s="87"/>
      <c r="F24" s="92"/>
      <c r="G24" s="106" t="s">
        <v>152</v>
      </c>
      <c r="H24" s="102" t="s">
        <v>44</v>
      </c>
      <c r="I24" s="105">
        <v>44795</v>
      </c>
      <c r="J24" s="89">
        <v>2072.25</v>
      </c>
      <c r="K24" s="89">
        <f t="shared" si="0"/>
        <v>2486.6999999999998</v>
      </c>
      <c r="L24" s="92" t="s">
        <v>124</v>
      </c>
      <c r="M24" s="98"/>
      <c r="N24" s="87"/>
      <c r="O24" s="105"/>
      <c r="P24" s="89"/>
      <c r="Q24" s="89"/>
      <c r="R24" s="92"/>
      <c r="S24" s="25"/>
      <c r="T24" s="30"/>
      <c r="U24" s="21"/>
      <c r="V24" s="21"/>
      <c r="W24" s="21"/>
      <c r="X24" s="4"/>
      <c r="Y24" s="4"/>
      <c r="Z24" s="4"/>
      <c r="AA24" s="21"/>
      <c r="AB24" s="25"/>
      <c r="AC24" s="25"/>
      <c r="AD24" s="21"/>
      <c r="AE24" s="21"/>
      <c r="AF24" s="21"/>
    </row>
    <row r="25" spans="1:32">
      <c r="A25" s="98"/>
      <c r="B25" s="87"/>
      <c r="C25" s="87"/>
      <c r="D25" s="87"/>
      <c r="E25" s="87"/>
      <c r="F25" s="92"/>
      <c r="G25" s="107" t="s">
        <v>153</v>
      </c>
      <c r="H25" s="102" t="s">
        <v>44</v>
      </c>
      <c r="I25" s="105">
        <v>44845</v>
      </c>
      <c r="J25" s="89">
        <v>2532.75</v>
      </c>
      <c r="K25" s="89">
        <f t="shared" si="0"/>
        <v>3039.2999999999997</v>
      </c>
      <c r="L25" s="108" t="s">
        <v>125</v>
      </c>
      <c r="M25" s="98" t="s">
        <v>157</v>
      </c>
      <c r="N25" s="102" t="s">
        <v>43</v>
      </c>
      <c r="O25" s="105">
        <v>44666</v>
      </c>
      <c r="P25" s="89">
        <v>750</v>
      </c>
      <c r="Q25" s="89">
        <f>P25*1.2</f>
        <v>900</v>
      </c>
      <c r="R25" s="92" t="s">
        <v>117</v>
      </c>
      <c r="S25" s="25"/>
      <c r="T25" s="30"/>
      <c r="U25" s="21"/>
      <c r="V25" s="21"/>
      <c r="W25" s="21"/>
      <c r="X25" s="4"/>
      <c r="Y25" s="4"/>
      <c r="Z25" s="4"/>
      <c r="AA25" s="21"/>
      <c r="AB25" s="25"/>
      <c r="AC25" s="25"/>
      <c r="AD25" s="21"/>
      <c r="AE25" s="21"/>
      <c r="AF25" s="21"/>
    </row>
    <row r="26" spans="1:32">
      <c r="A26" s="98"/>
      <c r="B26" s="87"/>
      <c r="C26" s="87"/>
      <c r="D26" s="87"/>
      <c r="E26" s="87"/>
      <c r="F26" s="92"/>
      <c r="G26" s="107" t="s">
        <v>154</v>
      </c>
      <c r="H26" s="102" t="s">
        <v>44</v>
      </c>
      <c r="I26" s="105">
        <v>44935</v>
      </c>
      <c r="J26" s="89">
        <v>1918.75</v>
      </c>
      <c r="K26" s="89">
        <f t="shared" si="0"/>
        <v>2302.5</v>
      </c>
      <c r="L26" s="108" t="s">
        <v>126</v>
      </c>
      <c r="M26" s="98" t="s">
        <v>158</v>
      </c>
      <c r="N26" s="102" t="s">
        <v>44</v>
      </c>
      <c r="O26" s="105">
        <v>44957</v>
      </c>
      <c r="P26" s="89">
        <v>1550</v>
      </c>
      <c r="Q26" s="89">
        <f>P26*1.2</f>
        <v>1860</v>
      </c>
      <c r="R26" s="92" t="s">
        <v>118</v>
      </c>
      <c r="S26" s="25"/>
      <c r="T26" s="30"/>
      <c r="U26" s="21"/>
      <c r="V26" s="21"/>
      <c r="W26" s="21"/>
      <c r="X26" s="4"/>
      <c r="Y26" s="4"/>
      <c r="Z26" s="4"/>
      <c r="AA26" s="4"/>
      <c r="AB26" s="25"/>
      <c r="AC26" s="25"/>
      <c r="AD26" s="21"/>
      <c r="AE26" s="21"/>
      <c r="AF26" s="21"/>
    </row>
    <row r="27" spans="1:32" ht="15.75">
      <c r="A27" s="98"/>
      <c r="B27" s="87"/>
      <c r="C27" s="87"/>
      <c r="D27" s="87"/>
      <c r="E27" s="87"/>
      <c r="F27" s="92"/>
      <c r="G27" s="107" t="s">
        <v>155</v>
      </c>
      <c r="H27" s="102" t="s">
        <v>44</v>
      </c>
      <c r="I27" s="105">
        <v>44966</v>
      </c>
      <c r="J27" s="89">
        <v>1151.25</v>
      </c>
      <c r="K27" s="89">
        <f t="shared" si="0"/>
        <v>1381.5</v>
      </c>
      <c r="L27" s="108" t="s">
        <v>127</v>
      </c>
      <c r="M27" s="107"/>
      <c r="N27" s="102"/>
      <c r="O27" s="102"/>
      <c r="P27" s="102"/>
      <c r="Q27" s="102"/>
      <c r="R27" s="111"/>
      <c r="S27" s="66"/>
      <c r="T27" s="67"/>
      <c r="U27" s="65"/>
      <c r="V27" s="65"/>
      <c r="W27" s="65"/>
      <c r="X27" s="4"/>
      <c r="Y27" s="4"/>
      <c r="Z27" s="4"/>
      <c r="AA27" s="21"/>
      <c r="AB27" s="25"/>
      <c r="AC27" s="25"/>
      <c r="AD27" s="21"/>
      <c r="AE27" s="21"/>
      <c r="AF27" s="21"/>
    </row>
    <row r="28" spans="1:32" ht="16.5" thickBot="1">
      <c r="A28" s="157" t="s">
        <v>6</v>
      </c>
      <c r="B28" s="158"/>
      <c r="C28" s="158"/>
      <c r="D28" s="131">
        <f>SUM(D19:D27)</f>
        <v>3949</v>
      </c>
      <c r="E28" s="131">
        <f>SUM(E19:E27)</f>
        <v>3949</v>
      </c>
      <c r="F28" s="100"/>
      <c r="G28" s="109"/>
      <c r="H28" s="110" t="s">
        <v>6</v>
      </c>
      <c r="I28" s="110"/>
      <c r="J28" s="131">
        <f>SUM(J19:J27)</f>
        <v>17225</v>
      </c>
      <c r="K28" s="131">
        <f>SUM(K19:K27)</f>
        <v>20670</v>
      </c>
      <c r="L28" s="100"/>
      <c r="M28" s="157" t="s">
        <v>6</v>
      </c>
      <c r="N28" s="158"/>
      <c r="O28" s="158"/>
      <c r="P28" s="131">
        <f>SUM(P19:P26)</f>
        <v>4600</v>
      </c>
      <c r="Q28" s="131">
        <f>SUM(Q19:Q26)</f>
        <v>5520</v>
      </c>
      <c r="R28" s="100"/>
      <c r="S28" s="66"/>
      <c r="T28" s="67"/>
      <c r="U28" s="65"/>
      <c r="V28" s="65"/>
      <c r="W28" s="65"/>
      <c r="X28" s="4"/>
      <c r="Y28" s="4"/>
      <c r="Z28" s="4"/>
      <c r="AA28" s="4"/>
      <c r="AB28" s="25"/>
      <c r="AC28" s="25"/>
      <c r="AD28" s="21"/>
      <c r="AE28" s="21"/>
      <c r="AF28" s="21"/>
    </row>
    <row r="29" spans="1:32" ht="16.5" thickTop="1">
      <c r="S29" s="66"/>
      <c r="T29" s="67"/>
      <c r="U29" s="65"/>
      <c r="W29" s="63"/>
      <c r="X29" s="4"/>
      <c r="Y29" s="4"/>
      <c r="Z29" s="4"/>
      <c r="AA29" s="21"/>
      <c r="AB29" s="25"/>
      <c r="AC29" s="25"/>
      <c r="AD29" s="21"/>
      <c r="AE29" s="21"/>
      <c r="AF29" s="21"/>
    </row>
    <row r="30" spans="1:32">
      <c r="S30" s="25"/>
      <c r="T30" s="30"/>
      <c r="U30" s="21"/>
      <c r="V30" s="21"/>
      <c r="W30" s="21"/>
      <c r="X30" s="4"/>
      <c r="Y30" s="4"/>
      <c r="Z30" s="4"/>
      <c r="AA30" s="21"/>
      <c r="AB30" s="25"/>
      <c r="AC30" s="25"/>
      <c r="AD30" s="21"/>
      <c r="AE30" s="21"/>
      <c r="AF30" s="21"/>
    </row>
    <row r="31" spans="1:32">
      <c r="E31" s="4"/>
      <c r="F31" s="4"/>
      <c r="G31" s="4"/>
      <c r="H31" s="4"/>
      <c r="I31" s="4"/>
      <c r="J31" s="4"/>
      <c r="K31" s="4"/>
      <c r="L31" s="4"/>
      <c r="M31" s="7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>
      <c r="A32" s="4"/>
      <c r="B32" s="4"/>
      <c r="C32" s="4"/>
      <c r="D32" s="4"/>
      <c r="E32" s="4"/>
      <c r="F32" s="4"/>
      <c r="J32" s="27"/>
      <c r="M32" s="77"/>
    </row>
    <row r="33" spans="1:18">
      <c r="J33" s="27"/>
      <c r="K33" s="27"/>
      <c r="L33" s="27"/>
      <c r="M33" s="27"/>
      <c r="N33" s="4"/>
      <c r="O33" s="4"/>
      <c r="P33" s="25"/>
      <c r="Q33" s="25"/>
      <c r="R33" s="25"/>
    </row>
    <row r="34" spans="1:18" ht="21">
      <c r="A34" s="155" t="s">
        <v>159</v>
      </c>
      <c r="B34" s="155"/>
      <c r="C34" s="155"/>
      <c r="D34" s="155"/>
      <c r="E34" s="155"/>
      <c r="F34" s="156">
        <f>D13+J13+P13+V13+D28+J28+P28</f>
        <v>121501.56</v>
      </c>
      <c r="G34" s="156"/>
      <c r="H34" s="156"/>
      <c r="J34" s="27"/>
      <c r="K34" s="27"/>
      <c r="L34" s="27"/>
      <c r="M34" s="27"/>
      <c r="N34" s="4"/>
      <c r="O34" s="4"/>
      <c r="P34" s="21"/>
      <c r="Q34" s="21"/>
      <c r="R34" s="25"/>
    </row>
    <row r="35" spans="1:18" ht="21">
      <c r="A35" s="155" t="s">
        <v>175</v>
      </c>
      <c r="B35" s="155"/>
      <c r="C35" s="155"/>
      <c r="D35" s="155"/>
      <c r="E35" s="155"/>
      <c r="F35" s="156">
        <f>+F36-F34</f>
        <v>18150.856000000029</v>
      </c>
      <c r="G35" s="156"/>
      <c r="H35" s="156"/>
      <c r="J35" s="27"/>
      <c r="K35" s="27"/>
      <c r="L35" s="27"/>
      <c r="M35" s="27"/>
      <c r="N35" s="4"/>
      <c r="O35" s="4"/>
      <c r="P35" s="21"/>
      <c r="Q35" s="21"/>
      <c r="R35" s="25"/>
    </row>
    <row r="36" spans="1:18" ht="21">
      <c r="A36" s="155" t="s">
        <v>176</v>
      </c>
      <c r="B36" s="155"/>
      <c r="C36" s="155"/>
      <c r="D36" s="155"/>
      <c r="E36" s="155"/>
      <c r="F36" s="156">
        <f>+E13+K13+Q13+W13+E28+K28+Q28</f>
        <v>139652.41600000003</v>
      </c>
      <c r="G36" s="156"/>
      <c r="H36" s="156"/>
      <c r="J36" s="27"/>
      <c r="K36" s="27"/>
      <c r="L36" s="27"/>
      <c r="M36" s="27"/>
      <c r="N36" s="4"/>
      <c r="O36" s="4"/>
      <c r="P36" s="21"/>
      <c r="Q36" s="21"/>
      <c r="R36" s="25"/>
    </row>
    <row r="37" spans="1:18">
      <c r="F37" s="27"/>
      <c r="G37" s="27"/>
      <c r="J37" s="27"/>
      <c r="K37" s="27"/>
      <c r="L37" s="27"/>
      <c r="M37" s="27"/>
      <c r="N37" s="4"/>
      <c r="O37" s="4"/>
      <c r="P37" s="21"/>
      <c r="Q37" s="21"/>
      <c r="R37" s="25"/>
    </row>
    <row r="38" spans="1:18">
      <c r="F38" s="27"/>
      <c r="G38" s="27"/>
      <c r="J38" s="27"/>
      <c r="K38" s="27"/>
      <c r="L38" s="27"/>
      <c r="M38" s="27"/>
      <c r="N38" s="4"/>
      <c r="O38" s="4"/>
      <c r="P38" s="21"/>
      <c r="Q38" s="21"/>
      <c r="R38" s="25"/>
    </row>
    <row r="39" spans="1:18">
      <c r="N39" s="4"/>
      <c r="O39" s="4"/>
      <c r="P39" s="21"/>
      <c r="Q39" s="21"/>
      <c r="R39" s="25"/>
    </row>
    <row r="40" spans="1:18" ht="15.75">
      <c r="A40" s="62" t="s">
        <v>160</v>
      </c>
      <c r="C40" s="63"/>
      <c r="D40" s="63"/>
      <c r="E40" s="63"/>
      <c r="F40" s="63"/>
      <c r="G40" s="63"/>
      <c r="H40" s="63"/>
      <c r="I40" s="63"/>
      <c r="J40" s="63"/>
      <c r="K40" s="63"/>
      <c r="L40" s="63" t="s">
        <v>59</v>
      </c>
      <c r="M40" s="63"/>
      <c r="N40" s="64"/>
      <c r="O40" s="64"/>
      <c r="P40" s="65"/>
      <c r="Q40" s="65"/>
      <c r="R40" s="66"/>
    </row>
    <row r="41" spans="1:18" ht="15.75">
      <c r="B41" s="62"/>
      <c r="C41" s="68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4"/>
      <c r="O41" s="64"/>
      <c r="P41" s="65"/>
      <c r="Q41" s="65"/>
      <c r="R41" s="66"/>
    </row>
    <row r="42" spans="1:18" ht="15.75">
      <c r="A42" s="63" t="s">
        <v>57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  <c r="O42" s="64"/>
      <c r="P42" s="65"/>
      <c r="Q42" s="65"/>
      <c r="R42" s="66"/>
    </row>
    <row r="43" spans="1:18">
      <c r="A43" s="50" t="s">
        <v>58</v>
      </c>
      <c r="N43" s="4"/>
      <c r="O43" s="4"/>
      <c r="P43" s="21"/>
      <c r="Q43" s="21"/>
      <c r="R43" s="25"/>
    </row>
    <row r="44" spans="1:18">
      <c r="N44" s="4"/>
      <c r="O44" s="4"/>
      <c r="P44" s="4"/>
      <c r="Q44" s="4"/>
      <c r="R44" s="4"/>
    </row>
  </sheetData>
  <mergeCells count="21">
    <mergeCell ref="M16:R16"/>
    <mergeCell ref="A1:X1"/>
    <mergeCell ref="M13:O13"/>
    <mergeCell ref="M5:R5"/>
    <mergeCell ref="S13:U13"/>
    <mergeCell ref="S5:X5"/>
    <mergeCell ref="A16:F16"/>
    <mergeCell ref="B12:C12"/>
    <mergeCell ref="A5:F5"/>
    <mergeCell ref="A13:C13"/>
    <mergeCell ref="G5:L5"/>
    <mergeCell ref="G13:I13"/>
    <mergeCell ref="G16:L16"/>
    <mergeCell ref="A35:E35"/>
    <mergeCell ref="A36:E36"/>
    <mergeCell ref="F35:H35"/>
    <mergeCell ref="F36:H36"/>
    <mergeCell ref="M28:O28"/>
    <mergeCell ref="A28:C28"/>
    <mergeCell ref="F34:H34"/>
    <mergeCell ref="A34:E3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3"/>
  <sheetViews>
    <sheetView workbookViewId="0">
      <selection activeCell="L24" sqref="L24"/>
    </sheetView>
  </sheetViews>
  <sheetFormatPr baseColWidth="10" defaultRowHeight="15"/>
  <cols>
    <col min="1" max="1" width="20.5703125" style="50" bestFit="1" customWidth="1"/>
    <col min="2" max="2" width="15.28515625" style="50" customWidth="1"/>
    <col min="3" max="3" width="13.140625" style="50" bestFit="1" customWidth="1"/>
    <col min="4" max="4" width="13" style="50" bestFit="1" customWidth="1"/>
    <col min="5" max="5" width="12" style="50" customWidth="1"/>
    <col min="6" max="6" width="14.140625" style="50" customWidth="1"/>
    <col min="7" max="7" width="10.42578125" style="50" bestFit="1" customWidth="1"/>
    <col min="8" max="8" width="7.5703125" style="50" bestFit="1" customWidth="1"/>
    <col min="9" max="9" width="10.5703125" style="50" customWidth="1"/>
    <col min="10" max="10" width="11.85546875" style="50" bestFit="1" customWidth="1"/>
    <col min="11" max="11" width="12.7109375" style="50" customWidth="1"/>
    <col min="12" max="12" width="10.7109375" style="50" customWidth="1"/>
    <col min="13" max="13" width="9.85546875" style="50" bestFit="1" customWidth="1"/>
    <col min="14" max="14" width="8.5703125" style="50" customWidth="1"/>
    <col min="15" max="15" width="10.42578125" style="50" bestFit="1" customWidth="1"/>
    <col min="16" max="16" width="11" style="50" bestFit="1" customWidth="1"/>
    <col min="17" max="17" width="9.5703125" style="50" bestFit="1" customWidth="1"/>
    <col min="18" max="18" width="11.28515625" style="50" customWidth="1"/>
    <col min="19" max="16384" width="11.42578125" style="50"/>
  </cols>
  <sheetData>
    <row r="1" spans="1:18" ht="21">
      <c r="B1" s="151" t="s">
        <v>54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3" spans="1:18">
      <c r="C3" s="34"/>
      <c r="D3" s="34"/>
      <c r="E3" s="34"/>
      <c r="F3" s="34"/>
      <c r="G3" s="34"/>
      <c r="H3" s="35"/>
    </row>
    <row r="4" spans="1:18" ht="15.75" thickBot="1">
      <c r="C4" s="21"/>
      <c r="D4" s="18"/>
      <c r="E4" s="18"/>
      <c r="F4" s="18"/>
      <c r="G4" s="18"/>
    </row>
    <row r="5" spans="1:18" ht="15.75" thickTop="1">
      <c r="A5" s="159" t="s">
        <v>5</v>
      </c>
      <c r="B5" s="160"/>
      <c r="C5" s="160"/>
      <c r="D5" s="160"/>
      <c r="E5" s="160"/>
      <c r="F5" s="161"/>
      <c r="G5" s="176" t="s">
        <v>25</v>
      </c>
      <c r="H5" s="177"/>
      <c r="I5" s="177"/>
      <c r="J5" s="177"/>
      <c r="K5" s="177"/>
      <c r="L5" s="178"/>
      <c r="M5" s="176" t="s">
        <v>1</v>
      </c>
      <c r="N5" s="177"/>
      <c r="O5" s="177"/>
      <c r="P5" s="177"/>
      <c r="Q5" s="177"/>
      <c r="R5" s="178"/>
    </row>
    <row r="6" spans="1:18" ht="30" customHeight="1">
      <c r="A6" s="86" t="s">
        <v>138</v>
      </c>
      <c r="B6" s="102"/>
      <c r="C6" s="87" t="s">
        <v>21</v>
      </c>
      <c r="D6" s="87" t="s">
        <v>3</v>
      </c>
      <c r="E6" s="87" t="s">
        <v>4</v>
      </c>
      <c r="F6" s="112" t="s">
        <v>129</v>
      </c>
      <c r="G6" s="122" t="s">
        <v>138</v>
      </c>
      <c r="H6" s="80"/>
      <c r="I6" s="81" t="s">
        <v>21</v>
      </c>
      <c r="J6" s="81" t="s">
        <v>3</v>
      </c>
      <c r="K6" s="81" t="s">
        <v>4</v>
      </c>
      <c r="L6" s="123" t="s">
        <v>129</v>
      </c>
      <c r="M6" s="122" t="s">
        <v>138</v>
      </c>
      <c r="N6" s="80"/>
      <c r="O6" s="81" t="s">
        <v>21</v>
      </c>
      <c r="P6" s="81" t="s">
        <v>3</v>
      </c>
      <c r="Q6" s="81" t="s">
        <v>4</v>
      </c>
      <c r="R6" s="123" t="s">
        <v>129</v>
      </c>
    </row>
    <row r="7" spans="1:18">
      <c r="A7" s="86"/>
      <c r="B7" s="113" t="s">
        <v>6</v>
      </c>
      <c r="C7" s="113"/>
      <c r="D7" s="114">
        <f>SUM(D9:D18)</f>
        <v>424086.85666666663</v>
      </c>
      <c r="E7" s="114">
        <f>SUM(E9:E18)</f>
        <v>512310.20799999998</v>
      </c>
      <c r="F7" s="115"/>
      <c r="G7" s="124"/>
      <c r="H7" s="113" t="s">
        <v>6</v>
      </c>
      <c r="I7" s="113"/>
      <c r="J7" s="125">
        <f>SUM(J9:J19)</f>
        <v>15919.9</v>
      </c>
      <c r="K7" s="114">
        <f>SUM(K9:K11)</f>
        <v>15919.9</v>
      </c>
      <c r="L7" s="115"/>
      <c r="M7" s="124"/>
      <c r="N7" s="113" t="s">
        <v>6</v>
      </c>
      <c r="O7" s="113"/>
      <c r="P7" s="125">
        <f>SUM(P9:P19)</f>
        <v>1110</v>
      </c>
      <c r="Q7" s="114">
        <f>SUM(Q9)</f>
        <v>1110</v>
      </c>
      <c r="R7" s="115"/>
    </row>
    <row r="8" spans="1:18" ht="9" customHeight="1">
      <c r="A8" s="86"/>
      <c r="B8" s="84"/>
      <c r="C8" s="84"/>
      <c r="D8" s="84"/>
      <c r="E8" s="84"/>
      <c r="F8" s="85"/>
      <c r="G8" s="83"/>
      <c r="H8" s="84"/>
      <c r="I8" s="84"/>
      <c r="J8" s="84"/>
      <c r="K8" s="84"/>
      <c r="L8" s="85"/>
      <c r="M8" s="83"/>
      <c r="N8" s="84"/>
      <c r="O8" s="84"/>
      <c r="P8" s="84"/>
      <c r="Q8" s="84"/>
      <c r="R8" s="85"/>
    </row>
    <row r="9" spans="1:18">
      <c r="A9" s="86"/>
      <c r="B9" s="102" t="s">
        <v>26</v>
      </c>
      <c r="C9" s="105">
        <v>44704</v>
      </c>
      <c r="D9" s="116">
        <v>25734.6</v>
      </c>
      <c r="E9" s="116">
        <f>D9*1.2</f>
        <v>30881.519999999997</v>
      </c>
      <c r="F9" s="111" t="s">
        <v>61</v>
      </c>
      <c r="G9" s="126" t="s">
        <v>173</v>
      </c>
      <c r="H9" s="102" t="s">
        <v>107</v>
      </c>
      <c r="I9" s="105">
        <v>44736</v>
      </c>
      <c r="J9" s="116">
        <v>6287.3</v>
      </c>
      <c r="K9" s="116">
        <v>6287.3</v>
      </c>
      <c r="L9" s="111" t="s">
        <v>68</v>
      </c>
      <c r="M9" s="86" t="s">
        <v>172</v>
      </c>
      <c r="N9" s="102" t="s">
        <v>107</v>
      </c>
      <c r="O9" s="105">
        <v>44795</v>
      </c>
      <c r="P9" s="116">
        <v>1110</v>
      </c>
      <c r="Q9" s="116">
        <v>1110</v>
      </c>
      <c r="R9" s="111" t="s">
        <v>71</v>
      </c>
    </row>
    <row r="10" spans="1:18">
      <c r="A10" s="86" t="s">
        <v>169</v>
      </c>
      <c r="B10" s="102" t="s">
        <v>107</v>
      </c>
      <c r="C10" s="105">
        <v>44704</v>
      </c>
      <c r="D10" s="116">
        <v>58880</v>
      </c>
      <c r="E10" s="116">
        <f>D10*1.2</f>
        <v>70656</v>
      </c>
      <c r="F10" s="111" t="s">
        <v>60</v>
      </c>
      <c r="G10" s="126" t="s">
        <v>171</v>
      </c>
      <c r="H10" s="102" t="s">
        <v>105</v>
      </c>
      <c r="I10" s="105">
        <v>44795</v>
      </c>
      <c r="J10" s="116">
        <v>2820.6</v>
      </c>
      <c r="K10" s="116">
        <v>2820.6</v>
      </c>
      <c r="L10" s="111" t="s">
        <v>69</v>
      </c>
      <c r="M10" s="86"/>
      <c r="N10" s="102"/>
      <c r="O10" s="102"/>
      <c r="P10" s="102"/>
      <c r="Q10" s="102"/>
      <c r="R10" s="111"/>
    </row>
    <row r="11" spans="1:18">
      <c r="A11" s="86" t="s">
        <v>168</v>
      </c>
      <c r="B11" s="102" t="s">
        <v>105</v>
      </c>
      <c r="C11" s="105">
        <v>44736</v>
      </c>
      <c r="D11" s="116">
        <v>43633.7</v>
      </c>
      <c r="E11" s="116">
        <v>53617.9</v>
      </c>
      <c r="F11" s="111" t="s">
        <v>62</v>
      </c>
      <c r="G11" s="126" t="s">
        <v>170</v>
      </c>
      <c r="H11" s="102" t="s">
        <v>106</v>
      </c>
      <c r="I11" s="105">
        <v>44795</v>
      </c>
      <c r="J11" s="116">
        <v>6812</v>
      </c>
      <c r="K11" s="116">
        <v>6812</v>
      </c>
      <c r="L11" s="111" t="s">
        <v>70</v>
      </c>
      <c r="M11" s="86"/>
      <c r="N11" s="102"/>
      <c r="O11" s="102"/>
      <c r="P11" s="102"/>
      <c r="Q11" s="102"/>
      <c r="R11" s="111"/>
    </row>
    <row r="12" spans="1:18">
      <c r="A12" s="86" t="s">
        <v>167</v>
      </c>
      <c r="B12" s="102" t="s">
        <v>106</v>
      </c>
      <c r="C12" s="105">
        <v>44796</v>
      </c>
      <c r="D12" s="116">
        <v>52316.4</v>
      </c>
      <c r="E12" s="116">
        <v>63565.8</v>
      </c>
      <c r="F12" s="111" t="s">
        <v>63</v>
      </c>
      <c r="G12" s="86"/>
      <c r="H12" s="102"/>
      <c r="I12" s="105"/>
      <c r="J12" s="116"/>
      <c r="K12" s="116"/>
      <c r="L12" s="127"/>
      <c r="M12" s="129"/>
      <c r="N12" s="102"/>
      <c r="O12" s="102"/>
      <c r="P12" s="102"/>
      <c r="Q12" s="102"/>
      <c r="R12" s="111"/>
    </row>
    <row r="13" spans="1:18">
      <c r="A13" s="86" t="s">
        <v>166</v>
      </c>
      <c r="B13" s="102" t="s">
        <v>104</v>
      </c>
      <c r="C13" s="105">
        <v>44796</v>
      </c>
      <c r="D13" s="116">
        <v>51473</v>
      </c>
      <c r="E13" s="116">
        <v>63130</v>
      </c>
      <c r="F13" s="111" t="s">
        <v>64</v>
      </c>
      <c r="G13" s="86"/>
      <c r="H13" s="102"/>
      <c r="I13" s="105"/>
      <c r="J13" s="116"/>
      <c r="K13" s="116"/>
      <c r="L13" s="127"/>
      <c r="M13" s="129"/>
      <c r="N13" s="102"/>
      <c r="O13" s="102"/>
      <c r="P13" s="102"/>
      <c r="Q13" s="102"/>
      <c r="R13" s="111"/>
    </row>
    <row r="14" spans="1:18">
      <c r="A14" s="86" t="s">
        <v>162</v>
      </c>
      <c r="B14" s="102" t="s">
        <v>130</v>
      </c>
      <c r="C14" s="105">
        <v>44820</v>
      </c>
      <c r="D14" s="116">
        <v>39550</v>
      </c>
      <c r="E14" s="116">
        <f>D14*1.2</f>
        <v>47460</v>
      </c>
      <c r="F14" s="111" t="s">
        <v>65</v>
      </c>
      <c r="G14" s="86"/>
      <c r="H14" s="102"/>
      <c r="I14" s="105"/>
      <c r="J14" s="116"/>
      <c r="K14" s="116"/>
      <c r="L14" s="127"/>
      <c r="M14" s="129"/>
      <c r="N14" s="102"/>
      <c r="O14" s="102"/>
      <c r="P14" s="102"/>
      <c r="Q14" s="102"/>
      <c r="R14" s="111"/>
    </row>
    <row r="15" spans="1:18">
      <c r="A15" s="86" t="s">
        <v>161</v>
      </c>
      <c r="B15" s="102" t="s">
        <v>53</v>
      </c>
      <c r="C15" s="105">
        <v>44820</v>
      </c>
      <c r="D15" s="116">
        <v>15036.866666666669</v>
      </c>
      <c r="E15" s="116">
        <f>D15*1.2</f>
        <v>18044.240000000002</v>
      </c>
      <c r="F15" s="111" t="s">
        <v>67</v>
      </c>
      <c r="G15" s="86"/>
      <c r="H15" s="102"/>
      <c r="I15" s="105"/>
      <c r="J15" s="116"/>
      <c r="K15" s="116"/>
      <c r="L15" s="127"/>
      <c r="M15" s="129"/>
      <c r="N15" s="102"/>
      <c r="O15" s="102"/>
      <c r="P15" s="102"/>
      <c r="Q15" s="102"/>
      <c r="R15" s="111"/>
    </row>
    <row r="16" spans="1:18">
      <c r="A16" s="86" t="s">
        <v>163</v>
      </c>
      <c r="B16" s="102" t="s">
        <v>131</v>
      </c>
      <c r="C16" s="105">
        <v>44840</v>
      </c>
      <c r="D16" s="116">
        <v>108681</v>
      </c>
      <c r="E16" s="116">
        <f>D16*1.2</f>
        <v>130417.2</v>
      </c>
      <c r="F16" s="111" t="s">
        <v>66</v>
      </c>
      <c r="G16" s="86"/>
      <c r="H16" s="102"/>
      <c r="I16" s="102"/>
      <c r="J16" s="116"/>
      <c r="K16" s="116"/>
      <c r="L16" s="127"/>
      <c r="M16" s="129"/>
      <c r="N16" s="102"/>
      <c r="O16" s="102"/>
      <c r="P16" s="102"/>
      <c r="Q16" s="102"/>
      <c r="R16" s="111"/>
    </row>
    <row r="17" spans="1:18">
      <c r="A17" s="86" t="s">
        <v>164</v>
      </c>
      <c r="B17" s="102" t="s">
        <v>131</v>
      </c>
      <c r="C17" s="105">
        <v>44840</v>
      </c>
      <c r="D17" s="116">
        <v>9781.2900000000009</v>
      </c>
      <c r="E17" s="116">
        <f>D17*1.2</f>
        <v>11737.548000000001</v>
      </c>
      <c r="F17" s="111" t="s">
        <v>165</v>
      </c>
      <c r="G17" s="86"/>
      <c r="H17" s="102"/>
      <c r="I17" s="102"/>
      <c r="J17" s="116"/>
      <c r="K17" s="116"/>
      <c r="L17" s="127"/>
      <c r="M17" s="129"/>
      <c r="N17" s="102"/>
      <c r="O17" s="102"/>
      <c r="P17" s="102"/>
      <c r="Q17" s="102"/>
      <c r="R17" s="111"/>
    </row>
    <row r="18" spans="1:18" ht="15.75" thickBot="1">
      <c r="A18" s="117"/>
      <c r="B18" s="118" t="s">
        <v>132</v>
      </c>
      <c r="C18" s="119">
        <v>45168</v>
      </c>
      <c r="D18" s="120">
        <v>19000</v>
      </c>
      <c r="E18" s="120">
        <f>D18*1.2</f>
        <v>22800</v>
      </c>
      <c r="F18" s="121" t="s">
        <v>134</v>
      </c>
      <c r="G18" s="128"/>
      <c r="H18" s="118"/>
      <c r="I18" s="118"/>
      <c r="J18" s="120"/>
      <c r="K18" s="120"/>
      <c r="L18" s="121"/>
      <c r="M18" s="128"/>
      <c r="N18" s="118"/>
      <c r="O18" s="118"/>
      <c r="P18" s="118"/>
      <c r="Q18" s="118"/>
      <c r="R18" s="130"/>
    </row>
    <row r="19" spans="1:18" ht="15.75" thickTop="1">
      <c r="F19" s="75" t="s">
        <v>140</v>
      </c>
      <c r="G19" s="75"/>
    </row>
    <row r="21" spans="1:18" ht="15.75">
      <c r="C21" s="175" t="s">
        <v>159</v>
      </c>
      <c r="D21" s="175"/>
      <c r="E21" s="175"/>
      <c r="F21" s="37">
        <f>D7+J7+P7</f>
        <v>441116.75666666665</v>
      </c>
      <c r="G21" s="37"/>
      <c r="J21" s="27"/>
      <c r="K21" s="27"/>
      <c r="L21" s="27"/>
      <c r="M21" s="27"/>
    </row>
    <row r="22" spans="1:18" ht="15.75">
      <c r="C22" s="175" t="s">
        <v>175</v>
      </c>
      <c r="D22" s="175"/>
      <c r="E22" s="175"/>
      <c r="F22" s="37">
        <f>F23-F21</f>
        <v>88223.351333333354</v>
      </c>
      <c r="G22" s="27"/>
      <c r="H22" s="27"/>
      <c r="J22" s="27"/>
      <c r="K22" s="27"/>
      <c r="L22" s="27"/>
      <c r="M22" s="27"/>
    </row>
    <row r="23" spans="1:18" ht="15.75">
      <c r="C23" s="175" t="s">
        <v>176</v>
      </c>
      <c r="D23" s="175"/>
      <c r="E23" s="175"/>
      <c r="F23" s="37">
        <f>E7+K7+Q7</f>
        <v>529340.10800000001</v>
      </c>
      <c r="J23" s="27"/>
      <c r="K23" s="27"/>
      <c r="L23" s="27"/>
      <c r="M23" s="27"/>
    </row>
    <row r="24" spans="1:18">
      <c r="J24" s="27"/>
      <c r="K24" s="27"/>
      <c r="L24" s="27"/>
      <c r="M24" s="27"/>
    </row>
    <row r="26" spans="1:18">
      <c r="A26" s="27" t="s">
        <v>174</v>
      </c>
    </row>
    <row r="27" spans="1:18">
      <c r="B27" s="27"/>
      <c r="C27" s="18"/>
    </row>
    <row r="28" spans="1:18">
      <c r="A28" s="50" t="s">
        <v>57</v>
      </c>
      <c r="I28" s="50" t="s">
        <v>59</v>
      </c>
    </row>
    <row r="29" spans="1:18">
      <c r="A29" s="50" t="s">
        <v>58</v>
      </c>
    </row>
    <row r="31" spans="1:18">
      <c r="B31" s="27"/>
    </row>
    <row r="32" spans="1:18">
      <c r="B32" s="27"/>
    </row>
    <row r="33" spans="2:2">
      <c r="B33" s="27"/>
    </row>
  </sheetData>
  <mergeCells count="7">
    <mergeCell ref="C22:E22"/>
    <mergeCell ref="C23:E23"/>
    <mergeCell ref="C21:E21"/>
    <mergeCell ref="B1:R1"/>
    <mergeCell ref="G5:L5"/>
    <mergeCell ref="M5:R5"/>
    <mergeCell ref="A5:F5"/>
  </mergeCells>
  <pageMargins left="0.7" right="0.7" top="0.75" bottom="0.75" header="0.3" footer="0.3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travaux SDEG</vt:lpstr>
      <vt:lpstr>Suivi des travaux</vt:lpstr>
      <vt:lpstr>FACT LOT 1</vt:lpstr>
      <vt:lpstr>FACT LOT 2</vt:lpstr>
      <vt:lpstr>SUB CD16</vt:lpstr>
      <vt:lpstr>SUB DETR</vt:lpstr>
      <vt:lpstr>Acompte DETR Phase 1</vt:lpstr>
      <vt:lpstr>Acompte DETR Phase 2</vt:lpstr>
      <vt:lpstr>Solde DETR Phase 1</vt:lpstr>
      <vt:lpstr>Acompte DETR Phase 2 PREF</vt:lpstr>
      <vt:lpstr>Solde DETR Phase 1 PREF</vt:lpstr>
      <vt:lpstr>Solde DETR Phase 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2023-12-11T08:16:29Z</cp:lastPrinted>
  <dcterms:created xsi:type="dcterms:W3CDTF">2022-04-29T13:02:14Z</dcterms:created>
  <dcterms:modified xsi:type="dcterms:W3CDTF">2024-08-19T15:09:27Z</dcterms:modified>
</cp:coreProperties>
</file>