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2"/>
  </bookViews>
  <sheets>
    <sheet name="avril" sheetId="1" r:id="rId1"/>
    <sheet name="mars" sheetId="2" r:id="rId2"/>
    <sheet name="octobre" sheetId="3" r:id="rId3"/>
    <sheet name="Feuil1" sheetId="4" r:id="rId4"/>
  </sheets>
  <calcPr calcId="124519"/>
</workbook>
</file>

<file path=xl/calcChain.xml><?xml version="1.0" encoding="utf-8"?>
<calcChain xmlns="http://schemas.openxmlformats.org/spreadsheetml/2006/main">
  <c r="L11" i="3"/>
  <c r="M12" s="1"/>
  <c r="M18"/>
  <c r="M15"/>
  <c r="L18"/>
  <c r="L17"/>
  <c r="L15"/>
  <c r="L12"/>
  <c r="G30" i="4"/>
  <c r="G26"/>
  <c r="F26"/>
  <c r="D26"/>
  <c r="C26"/>
  <c r="E14"/>
  <c r="E19"/>
  <c r="D19"/>
  <c r="F15"/>
  <c r="E15"/>
  <c r="G15" s="1"/>
  <c r="D15"/>
  <c r="D14"/>
  <c r="L14" i="3"/>
  <c r="L7"/>
  <c r="L6"/>
  <c r="Q8" i="2"/>
  <c r="R8"/>
  <c r="P8"/>
  <c r="P9" s="1"/>
  <c r="O8"/>
  <c r="M8"/>
  <c r="Q6"/>
  <c r="N6"/>
  <c r="M6"/>
  <c r="L8"/>
  <c r="K8"/>
  <c r="J8"/>
  <c r="K6"/>
  <c r="J6"/>
  <c r="S6" s="1"/>
  <c r="K6" i="1"/>
  <c r="J7"/>
  <c r="L7" s="1"/>
  <c r="K7"/>
  <c r="J6"/>
  <c r="S6" s="1"/>
  <c r="O9" i="2" l="1"/>
  <c r="Q9"/>
  <c r="S8"/>
  <c r="N9"/>
  <c r="N8"/>
  <c r="N6" i="1"/>
  <c r="S7"/>
  <c r="L6"/>
  <c r="M7"/>
  <c r="N7"/>
  <c r="M6"/>
  <c r="O7"/>
  <c r="O8" s="1"/>
  <c r="Q7"/>
  <c r="P7"/>
  <c r="P8" s="1"/>
  <c r="Q6"/>
  <c r="R6" i="2" l="1"/>
  <c r="R6" i="1"/>
  <c r="Q8"/>
  <c r="R7"/>
  <c r="N8"/>
</calcChain>
</file>

<file path=xl/comments1.xml><?xml version="1.0" encoding="utf-8"?>
<comments xmlns="http://schemas.openxmlformats.org/spreadsheetml/2006/main">
  <authors>
    <author>Utilisateur</author>
  </authors>
  <commentList>
    <comment ref="T8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x 3 pour les mois de janvier février et mars</t>
        </r>
      </text>
    </comment>
  </commentList>
</comments>
</file>

<file path=xl/comments2.xml><?xml version="1.0" encoding="utf-8"?>
<comments xmlns="http://schemas.openxmlformats.org/spreadsheetml/2006/main">
  <authors>
    <author>Utilisateur</author>
  </authors>
  <commentList>
    <comment ref="K11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en prenant en compte l'augmentation de 13%</t>
        </r>
      </text>
    </comment>
    <comment ref="K14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maintien de salaire</t>
        </r>
      </text>
    </comment>
    <comment ref="K17" authorId="0">
      <text>
        <r>
          <rPr>
            <b/>
            <sz val="9"/>
            <color indexed="81"/>
            <rFont val="Tahoma"/>
            <charset val="1"/>
          </rPr>
          <t>Utilisateur:</t>
        </r>
        <r>
          <rPr>
            <sz val="9"/>
            <color indexed="81"/>
            <rFont val="Tahoma"/>
            <charset val="1"/>
          </rPr>
          <t xml:space="preserve">
maintien de salaire</t>
        </r>
      </text>
    </comment>
  </commentList>
</comments>
</file>

<file path=xl/sharedStrings.xml><?xml version="1.0" encoding="utf-8"?>
<sst xmlns="http://schemas.openxmlformats.org/spreadsheetml/2006/main" count="97" uniqueCount="37">
  <si>
    <t>Territoria-Mutuelle - PGM</t>
  </si>
  <si>
    <t>Structure des fichiers retour de précomptes</t>
  </si>
  <si>
    <t>mois-année</t>
  </si>
  <si>
    <t>contrat</t>
  </si>
  <si>
    <t>matricule</t>
  </si>
  <si>
    <t>civilité</t>
  </si>
  <si>
    <t>nom</t>
  </si>
  <si>
    <t>prénom</t>
  </si>
  <si>
    <t>date nais.</t>
  </si>
  <si>
    <t>n°SS</t>
  </si>
  <si>
    <t>traitement (TB + NBI)</t>
  </si>
  <si>
    <t>primes (IFSE + CSG)</t>
  </si>
  <si>
    <t>Total Montant des cotisations précomptées</t>
  </si>
  <si>
    <t>C-PREVCOL-02724</t>
  </si>
  <si>
    <t>Mme</t>
  </si>
  <si>
    <t>CROIZARD</t>
  </si>
  <si>
    <t>Céline</t>
  </si>
  <si>
    <t>2810716015087</t>
  </si>
  <si>
    <t>M.</t>
  </si>
  <si>
    <t>CHAILLOUX</t>
  </si>
  <si>
    <t>Sébastien</t>
  </si>
  <si>
    <t>1850116374041</t>
  </si>
  <si>
    <t>Invalidité</t>
  </si>
  <si>
    <t>Perte de Retraite</t>
  </si>
  <si>
    <t>Traitement de base</t>
  </si>
  <si>
    <t>Régime indemnitaire</t>
  </si>
  <si>
    <t>dif. 1,49€</t>
  </si>
  <si>
    <t>dif. 3,76€</t>
  </si>
  <si>
    <t>taux</t>
  </si>
  <si>
    <t>montant prélevé</t>
  </si>
  <si>
    <t>DARDILLAC</t>
  </si>
  <si>
    <t>Mélanie</t>
  </si>
  <si>
    <t>participation de la commune de 7€</t>
  </si>
  <si>
    <t>31,04/35</t>
  </si>
  <si>
    <t>Pamela</t>
  </si>
  <si>
    <t>23,7/35</t>
  </si>
  <si>
    <t>traitement (TB + NBI + RI + CSG)</t>
  </si>
</sst>
</file>

<file path=xl/styles.xml><?xml version="1.0" encoding="utf-8"?>
<styleSheet xmlns="http://schemas.openxmlformats.org/spreadsheetml/2006/main">
  <numFmts count="4">
    <numFmt numFmtId="164" formatCode="mm\-yy"/>
    <numFmt numFmtId="165" formatCode="#,##0.00\ &quot;€&quot;"/>
    <numFmt numFmtId="166" formatCode="0.000"/>
    <numFmt numFmtId="167" formatCode="#,##0.0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165" fontId="0" fillId="2" borderId="6" xfId="0" applyNumberFormat="1" applyFill="1" applyBorder="1"/>
    <xf numFmtId="165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0" fontId="1" fillId="2" borderId="7" xfId="0" applyFont="1" applyFill="1" applyBorder="1" applyAlignment="1">
      <alignment horizontal="center" wrapText="1"/>
    </xf>
    <xf numFmtId="0" fontId="5" fillId="0" borderId="0" xfId="0" applyFont="1"/>
    <xf numFmtId="165" fontId="0" fillId="0" borderId="6" xfId="0" applyNumberFormat="1" applyFill="1" applyBorder="1"/>
    <xf numFmtId="4" fontId="0" fillId="0" borderId="6" xfId="0" applyNumberFormat="1" applyFill="1" applyBorder="1"/>
    <xf numFmtId="164" fontId="0" fillId="3" borderId="4" xfId="0" applyNumberFormat="1" applyFill="1" applyBorder="1" applyAlignment="1">
      <alignment horizontal="center"/>
    </xf>
    <xf numFmtId="0" fontId="0" fillId="3" borderId="5" xfId="0" applyFill="1" applyBorder="1"/>
    <xf numFmtId="14" fontId="0" fillId="3" borderId="5" xfId="0" applyNumberFormat="1" applyFill="1" applyBorder="1" applyAlignment="1">
      <alignment horizontal="center"/>
    </xf>
    <xf numFmtId="49" fontId="0" fillId="3" borderId="5" xfId="0" applyNumberFormat="1" applyFill="1" applyBorder="1" applyAlignment="1">
      <alignment horizontal="center"/>
    </xf>
    <xf numFmtId="165" fontId="0" fillId="3" borderId="6" xfId="0" applyNumberFormat="1" applyFill="1" applyBorder="1"/>
    <xf numFmtId="4" fontId="0" fillId="3" borderId="6" xfId="0" applyNumberFormat="1" applyFill="1" applyBorder="1"/>
    <xf numFmtId="164" fontId="0" fillId="4" borderId="4" xfId="0" applyNumberFormat="1" applyFill="1" applyBorder="1" applyAlignment="1">
      <alignment horizontal="center"/>
    </xf>
    <xf numFmtId="0" fontId="0" fillId="4" borderId="5" xfId="0" applyFill="1" applyBorder="1"/>
    <xf numFmtId="14" fontId="0" fillId="4" borderId="5" xfId="0" applyNumberFormat="1" applyFill="1" applyBorder="1" applyAlignment="1">
      <alignment horizontal="center"/>
    </xf>
    <xf numFmtId="49" fontId="0" fillId="4" borderId="5" xfId="0" applyNumberFormat="1" applyFill="1" applyBorder="1" applyAlignment="1">
      <alignment horizontal="center"/>
    </xf>
    <xf numFmtId="165" fontId="0" fillId="4" borderId="6" xfId="0" applyNumberFormat="1" applyFill="1" applyBorder="1"/>
    <xf numFmtId="4" fontId="0" fillId="4" borderId="6" xfId="0" applyNumberFormat="1" applyFill="1" applyBorder="1"/>
    <xf numFmtId="164" fontId="0" fillId="5" borderId="4" xfId="0" applyNumberFormat="1" applyFill="1" applyBorder="1" applyAlignment="1">
      <alignment horizontal="center"/>
    </xf>
    <xf numFmtId="0" fontId="0" fillId="5" borderId="5" xfId="0" applyFill="1" applyBorder="1"/>
    <xf numFmtId="14" fontId="0" fillId="5" borderId="5" xfId="0" applyNumberFormat="1" applyFill="1" applyBorder="1" applyAlignment="1">
      <alignment horizontal="center"/>
    </xf>
    <xf numFmtId="49" fontId="0" fillId="5" borderId="5" xfId="0" applyNumberFormat="1" applyFill="1" applyBorder="1" applyAlignment="1">
      <alignment horizontal="center"/>
    </xf>
    <xf numFmtId="165" fontId="0" fillId="5" borderId="6" xfId="0" applyNumberFormat="1" applyFill="1" applyBorder="1"/>
    <xf numFmtId="4" fontId="0" fillId="5" borderId="6" xfId="0" applyNumberFormat="1" applyFill="1" applyBorder="1"/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2" fontId="0" fillId="0" borderId="0" xfId="0" applyNumberFormat="1"/>
    <xf numFmtId="166" fontId="0" fillId="0" borderId="0" xfId="0" applyNumberFormat="1"/>
    <xf numFmtId="2" fontId="0" fillId="2" borderId="0" xfId="0" applyNumberFormat="1" applyFill="1"/>
    <xf numFmtId="167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4" fontId="0" fillId="3" borderId="8" xfId="0" applyNumberFormat="1" applyFill="1" applyBorder="1"/>
    <xf numFmtId="165" fontId="0" fillId="3" borderId="0" xfId="0" applyNumberFormat="1" applyFill="1"/>
    <xf numFmtId="165" fontId="2" fillId="5" borderId="0" xfId="0" applyNumberFormat="1" applyFont="1" applyFill="1"/>
    <xf numFmtId="165" fontId="2" fillId="4" borderId="0" xfId="0" applyNumberFormat="1" applyFont="1" applyFill="1"/>
    <xf numFmtId="165" fontId="2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752476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333500" cy="1153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2" name="Image 1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3" name="Image 2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  <xdr:twoCellAnchor editAs="oneCell">
    <xdr:from>
      <xdr:col>1</xdr:col>
      <xdr:colOff>428626</xdr:colOff>
      <xdr:row>0</xdr:row>
      <xdr:rowOff>85725</xdr:rowOff>
    </xdr:from>
    <xdr:to>
      <xdr:col>2</xdr:col>
      <xdr:colOff>742951</xdr:colOff>
      <xdr:row>3</xdr:row>
      <xdr:rowOff>638677</xdr:rowOff>
    </xdr:to>
    <xdr:pic>
      <xdr:nvPicPr>
        <xdr:cNvPr id="4" name="Image 3" descr="logo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1" y="85725"/>
          <a:ext cx="1095375" cy="115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S12"/>
  <sheetViews>
    <sheetView workbookViewId="0">
      <selection activeCell="J7" sqref="J7"/>
    </sheetView>
  </sheetViews>
  <sheetFormatPr baseColWidth="10" defaultRowHeight="1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  <col min="13" max="13" width="13.5703125" bestFit="1" customWidth="1"/>
    <col min="14" max="14" width="13" customWidth="1"/>
    <col min="15" max="15" width="11.42578125" bestFit="1" customWidth="1"/>
    <col min="16" max="16" width="8.5703125" bestFit="1" customWidth="1"/>
    <col min="17" max="17" width="17.28515625" bestFit="1" customWidth="1"/>
  </cols>
  <sheetData>
    <row r="1" spans="2:19" s="1" customFormat="1" ht="18.7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19" s="2" customFormat="1" ht="15.75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2:19" s="3" customFormat="1" ht="12.7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2:19" s="5" customFormat="1" ht="107.25" customHeight="1">
      <c r="B4" s="4"/>
      <c r="I4" s="6"/>
    </row>
    <row r="5" spans="2:19" s="12" customFormat="1" ht="4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0" t="s">
        <v>10</v>
      </c>
      <c r="K5" s="10" t="s">
        <v>11</v>
      </c>
      <c r="L5" s="21"/>
      <c r="M5" s="21" t="s">
        <v>24</v>
      </c>
      <c r="N5" s="11" t="s">
        <v>25</v>
      </c>
      <c r="O5" s="11" t="s">
        <v>22</v>
      </c>
      <c r="P5" s="11" t="s">
        <v>23</v>
      </c>
      <c r="Q5" s="11" t="s">
        <v>12</v>
      </c>
    </row>
    <row r="6" spans="2:19">
      <c r="B6" s="13">
        <v>45748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17">
        <f>1831.27+147.68</f>
        <v>1978.95</v>
      </c>
      <c r="K6" s="17">
        <f>220+16.14</f>
        <v>236.14</v>
      </c>
      <c r="L6" s="17">
        <f>SUM(J6:K6)</f>
        <v>2215.09</v>
      </c>
      <c r="M6" s="17">
        <f>(J6+K6)*0.0062</f>
        <v>13.733558</v>
      </c>
      <c r="N6" s="17">
        <f>(J6+K6)*0.0007</f>
        <v>1.5505630000000001</v>
      </c>
      <c r="O6" s="17">
        <v>0</v>
      </c>
      <c r="P6" s="17">
        <v>0</v>
      </c>
      <c r="Q6" s="17">
        <f>(J6+K6)*0.0069</f>
        <v>15.284121000000001</v>
      </c>
      <c r="R6" s="18">
        <f>M6+N6</f>
        <v>15.284121000000001</v>
      </c>
      <c r="S6">
        <f>(J6+K6)*0.0069</f>
        <v>15.284121000000001</v>
      </c>
    </row>
    <row r="7" spans="2:19">
      <c r="B7" s="13">
        <v>45748</v>
      </c>
      <c r="C7" s="14" t="s">
        <v>13</v>
      </c>
      <c r="D7" s="14">
        <v>46</v>
      </c>
      <c r="E7" s="14" t="s">
        <v>18</v>
      </c>
      <c r="F7" s="14" t="s">
        <v>19</v>
      </c>
      <c r="G7" s="14" t="s">
        <v>20</v>
      </c>
      <c r="H7" s="15">
        <v>31061</v>
      </c>
      <c r="I7" s="16" t="s">
        <v>21</v>
      </c>
      <c r="J7" s="17">
        <f>1959.26+49.22</f>
        <v>2008.48</v>
      </c>
      <c r="K7" s="17">
        <f>300+40.42</f>
        <v>340.42</v>
      </c>
      <c r="L7" s="17">
        <f>SUM(J7:K7)</f>
        <v>2348.9</v>
      </c>
      <c r="M7" s="17">
        <f>(J7+K7)*0.0062</f>
        <v>14.563180000000001</v>
      </c>
      <c r="N7" s="17">
        <f>(J7+K7)*0.0007</f>
        <v>1.6442300000000001</v>
      </c>
      <c r="O7" s="17">
        <f>0.0096*(J7+K7)</f>
        <v>22.549440000000001</v>
      </c>
      <c r="P7" s="17">
        <f>(J7+K7)*0.0055</f>
        <v>12.918950000000001</v>
      </c>
      <c r="Q7" s="17">
        <f>(J7+K7)*0.022</f>
        <v>51.675800000000002</v>
      </c>
      <c r="R7" s="18">
        <f>M7+N7+O7+P7</f>
        <v>51.675800000000002</v>
      </c>
      <c r="S7">
        <f>(J7+K7)*0.022</f>
        <v>51.675800000000002</v>
      </c>
    </row>
    <row r="8" spans="2:19">
      <c r="N8" s="18">
        <f>SUM(N6:N7)</f>
        <v>3.1947930000000002</v>
      </c>
      <c r="O8" s="18">
        <f>SUM(O6:O7)</f>
        <v>22.549440000000001</v>
      </c>
      <c r="P8" s="18">
        <f>SUM(P6:P7)</f>
        <v>12.918950000000001</v>
      </c>
      <c r="Q8" s="18">
        <f>SUM(Q6:Q7)</f>
        <v>66.959921000000008</v>
      </c>
    </row>
    <row r="9" spans="2:19">
      <c r="M9" s="18"/>
      <c r="Q9" s="18"/>
    </row>
    <row r="10" spans="2:19">
      <c r="J10" s="18"/>
    </row>
    <row r="11" spans="2:19">
      <c r="J11" s="18"/>
      <c r="K11" s="18"/>
      <c r="L11" s="18"/>
      <c r="M11" s="18"/>
    </row>
    <row r="12" spans="2:19">
      <c r="K12" s="18"/>
      <c r="L12" s="18"/>
      <c r="M12" s="18"/>
    </row>
  </sheetData>
  <mergeCells count="3">
    <mergeCell ref="B1:Q1"/>
    <mergeCell ref="B2:Q2"/>
    <mergeCell ref="B3:Q3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T13"/>
  <sheetViews>
    <sheetView workbookViewId="0">
      <selection activeCell="L15" sqref="L15"/>
    </sheetView>
  </sheetViews>
  <sheetFormatPr baseColWidth="10" defaultRowHeight="1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  <col min="13" max="13" width="13.5703125" bestFit="1" customWidth="1"/>
    <col min="14" max="14" width="13" customWidth="1"/>
    <col min="15" max="15" width="11.42578125" bestFit="1" customWidth="1"/>
    <col min="16" max="16" width="8.5703125" bestFit="1" customWidth="1"/>
    <col min="17" max="17" width="17.28515625" bestFit="1" customWidth="1"/>
  </cols>
  <sheetData>
    <row r="1" spans="2:20" s="1" customFormat="1" ht="18.7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2:20" s="2" customFormat="1" ht="15.75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2:20" s="3" customFormat="1" ht="12.7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2:20" s="5" customFormat="1" ht="107.25" customHeight="1">
      <c r="B4" s="4"/>
      <c r="I4" s="6"/>
    </row>
    <row r="5" spans="2:20" s="12" customFormat="1" ht="4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10" t="s">
        <v>10</v>
      </c>
      <c r="K5" s="10" t="s">
        <v>11</v>
      </c>
      <c r="L5" s="21"/>
      <c r="M5" s="21" t="s">
        <v>24</v>
      </c>
      <c r="N5" s="11" t="s">
        <v>25</v>
      </c>
      <c r="O5" s="11" t="s">
        <v>22</v>
      </c>
      <c r="P5" s="11" t="s">
        <v>23</v>
      </c>
      <c r="Q5" s="11" t="s">
        <v>12</v>
      </c>
    </row>
    <row r="6" spans="2:20">
      <c r="B6" s="13">
        <v>45748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17">
        <f>1831.27+147.68</f>
        <v>1978.95</v>
      </c>
      <c r="K6" s="17">
        <f>220+16.14</f>
        <v>236.14</v>
      </c>
      <c r="L6" s="17">
        <v>2155.09</v>
      </c>
      <c r="M6" s="17">
        <f>L6*0.0057</f>
        <v>12.284013000000002</v>
      </c>
      <c r="N6" s="17">
        <f>L6*0.0007</f>
        <v>1.5085630000000001</v>
      </c>
      <c r="O6" s="17">
        <v>0</v>
      </c>
      <c r="P6" s="17">
        <v>0</v>
      </c>
      <c r="Q6" s="17">
        <f>M6+N6</f>
        <v>13.792576000000002</v>
      </c>
      <c r="R6" s="18">
        <f>M6+N6</f>
        <v>13.792576000000002</v>
      </c>
      <c r="S6">
        <f>(J6+K6)*0.0069</f>
        <v>15.284121000000001</v>
      </c>
      <c r="T6" s="22" t="s">
        <v>26</v>
      </c>
    </row>
    <row r="7" spans="2:20">
      <c r="B7" s="13"/>
      <c r="C7" s="14"/>
      <c r="D7" s="14"/>
      <c r="E7" s="14"/>
      <c r="F7" s="14"/>
      <c r="G7" s="14"/>
      <c r="H7" s="15"/>
      <c r="I7" s="16"/>
      <c r="J7" s="17"/>
      <c r="K7" s="17"/>
      <c r="L7" s="17"/>
      <c r="M7" s="17"/>
      <c r="N7" s="17"/>
      <c r="O7" s="17"/>
      <c r="P7" s="17"/>
      <c r="Q7" s="17"/>
      <c r="R7" s="18"/>
      <c r="T7" s="22"/>
    </row>
    <row r="8" spans="2:20">
      <c r="B8" s="13">
        <v>45748</v>
      </c>
      <c r="C8" s="14" t="s">
        <v>13</v>
      </c>
      <c r="D8" s="14">
        <v>46</v>
      </c>
      <c r="E8" s="14" t="s">
        <v>18</v>
      </c>
      <c r="F8" s="14" t="s">
        <v>19</v>
      </c>
      <c r="G8" s="14" t="s">
        <v>20</v>
      </c>
      <c r="H8" s="15">
        <v>31061</v>
      </c>
      <c r="I8" s="16" t="s">
        <v>21</v>
      </c>
      <c r="J8" s="17">
        <f>1959.26+49.22</f>
        <v>2008.48</v>
      </c>
      <c r="K8" s="17">
        <f>300+40.42</f>
        <v>340.42</v>
      </c>
      <c r="L8" s="17">
        <f>SUM(J8:K8)</f>
        <v>2348.9</v>
      </c>
      <c r="M8" s="17">
        <f>(J8+K8)*0.0057</f>
        <v>13.388730000000001</v>
      </c>
      <c r="N8" s="17">
        <f>(J8+K8)*0.0007</f>
        <v>1.6442300000000001</v>
      </c>
      <c r="O8" s="17">
        <f>0.0089*(J8+K8)</f>
        <v>20.90521</v>
      </c>
      <c r="P8" s="17">
        <f>(J8+K8)*0.0051</f>
        <v>11.979390000000002</v>
      </c>
      <c r="Q8" s="17">
        <f>M8+N8+O8+P8</f>
        <v>47.917560000000002</v>
      </c>
      <c r="R8" s="18">
        <f>M8+N8+O8+P8</f>
        <v>47.917560000000002</v>
      </c>
      <c r="S8">
        <f>(J8+K8)*0.022</f>
        <v>51.675800000000002</v>
      </c>
      <c r="T8" s="22" t="s">
        <v>27</v>
      </c>
    </row>
    <row r="9" spans="2:20">
      <c r="N9" s="18">
        <f>SUM(N6:N8)</f>
        <v>3.152793</v>
      </c>
      <c r="O9" s="18">
        <f>SUM(O6:O8)</f>
        <v>20.90521</v>
      </c>
      <c r="P9" s="18">
        <f>SUM(P6:P8)</f>
        <v>11.979390000000002</v>
      </c>
      <c r="Q9" s="18">
        <f>SUM(Q6:Q8)</f>
        <v>61.710136000000006</v>
      </c>
    </row>
    <row r="10" spans="2:20">
      <c r="M10" s="18"/>
      <c r="Q10" s="18"/>
    </row>
    <row r="11" spans="2:20">
      <c r="J11" s="18"/>
    </row>
    <row r="12" spans="2:20">
      <c r="J12" s="18"/>
      <c r="K12" s="18"/>
      <c r="L12" s="18"/>
      <c r="M12" s="18"/>
    </row>
    <row r="13" spans="2:20">
      <c r="K13" s="18"/>
      <c r="L13" s="18"/>
      <c r="M13" s="18"/>
    </row>
  </sheetData>
  <mergeCells count="3">
    <mergeCell ref="B1:Q1"/>
    <mergeCell ref="B2:Q2"/>
    <mergeCell ref="B3:Q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B1:P20"/>
  <sheetViews>
    <sheetView tabSelected="1" workbookViewId="0">
      <selection activeCell="J18" sqref="J18"/>
    </sheetView>
  </sheetViews>
  <sheetFormatPr baseColWidth="10" defaultRowHeight="15"/>
  <cols>
    <col min="1" max="1" width="1.85546875" customWidth="1"/>
    <col min="2" max="2" width="11.5703125" style="19" bestFit="1" customWidth="1"/>
    <col min="3" max="3" width="16.7109375" bestFit="1" customWidth="1"/>
    <col min="4" max="4" width="9.42578125" bestFit="1" customWidth="1"/>
    <col min="5" max="5" width="7.7109375" customWidth="1"/>
    <col min="8" max="8" width="11" customWidth="1"/>
    <col min="9" max="9" width="14" style="20" bestFit="1" customWidth="1"/>
    <col min="10" max="10" width="10.42578125" customWidth="1"/>
    <col min="11" max="12" width="11.5703125" customWidth="1"/>
  </cols>
  <sheetData>
    <row r="1" spans="2:16" s="1" customFormat="1" ht="18.75"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2:16" s="2" customFormat="1" ht="15.75">
      <c r="B2" s="50" t="s">
        <v>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2:16" s="3" customFormat="1" ht="12.7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2:16" s="5" customFormat="1" ht="72" customHeight="1">
      <c r="B4" s="4"/>
      <c r="I4" s="6"/>
    </row>
    <row r="5" spans="2:16" s="12" customFormat="1" ht="45">
      <c r="B5" s="7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9" t="s">
        <v>9</v>
      </c>
      <c r="J5" s="43" t="s">
        <v>36</v>
      </c>
      <c r="K5" s="43" t="s">
        <v>28</v>
      </c>
      <c r="L5" s="44" t="s">
        <v>29</v>
      </c>
    </row>
    <row r="6" spans="2:16">
      <c r="B6" s="13">
        <v>45931</v>
      </c>
      <c r="C6" s="14" t="s">
        <v>13</v>
      </c>
      <c r="D6" s="14">
        <v>74</v>
      </c>
      <c r="E6" s="14" t="s">
        <v>14</v>
      </c>
      <c r="F6" s="14" t="s">
        <v>15</v>
      </c>
      <c r="G6" s="14" t="s">
        <v>16</v>
      </c>
      <c r="H6" s="15">
        <v>29780</v>
      </c>
      <c r="I6" s="16" t="s">
        <v>17</v>
      </c>
      <c r="J6" s="23">
        <v>2215.09</v>
      </c>
      <c r="K6" s="24">
        <v>0.69</v>
      </c>
      <c r="L6" s="23">
        <f>J6*K6/100</f>
        <v>15.284121000000001</v>
      </c>
      <c r="M6" s="18"/>
    </row>
    <row r="7" spans="2:16">
      <c r="B7" s="13">
        <v>45931</v>
      </c>
      <c r="C7" s="14" t="s">
        <v>13</v>
      </c>
      <c r="D7" s="14">
        <v>46</v>
      </c>
      <c r="E7" s="14" t="s">
        <v>18</v>
      </c>
      <c r="F7" s="14" t="s">
        <v>19</v>
      </c>
      <c r="G7" s="14" t="s">
        <v>20</v>
      </c>
      <c r="H7" s="15">
        <v>31061</v>
      </c>
      <c r="I7" s="16" t="s">
        <v>21</v>
      </c>
      <c r="J7" s="23">
        <v>2348.9</v>
      </c>
      <c r="K7" s="24">
        <v>2.2000000000000002</v>
      </c>
      <c r="L7" s="23">
        <f>J7*K7/100</f>
        <v>51.67580000000001</v>
      </c>
      <c r="M7" s="18"/>
    </row>
    <row r="9" spans="2:16">
      <c r="M9" s="46"/>
      <c r="N9" s="46"/>
      <c r="O9" s="45"/>
    </row>
    <row r="11" spans="2:16">
      <c r="B11" s="37">
        <v>46023</v>
      </c>
      <c r="C11" s="38" t="s">
        <v>13</v>
      </c>
      <c r="D11" s="38">
        <v>74</v>
      </c>
      <c r="E11" s="38" t="s">
        <v>14</v>
      </c>
      <c r="F11" s="38" t="s">
        <v>15</v>
      </c>
      <c r="G11" s="38" t="s">
        <v>16</v>
      </c>
      <c r="H11" s="39">
        <v>29780</v>
      </c>
      <c r="I11" s="40" t="s">
        <v>17</v>
      </c>
      <c r="J11" s="41">
        <v>2215.09</v>
      </c>
      <c r="K11" s="42">
        <v>0.68</v>
      </c>
      <c r="L11" s="41">
        <f>J11*K11/100</f>
        <v>15.062612000000001</v>
      </c>
      <c r="P11" s="18"/>
    </row>
    <row r="12" spans="2:16" ht="18.75">
      <c r="B12" s="13"/>
      <c r="C12" s="14"/>
      <c r="D12" s="14"/>
      <c r="E12" s="14"/>
      <c r="F12" s="14"/>
      <c r="G12" s="14"/>
      <c r="H12" s="15"/>
      <c r="I12" s="16"/>
      <c r="J12" s="23"/>
      <c r="K12" s="42">
        <v>0.08</v>
      </c>
      <c r="L12" s="41">
        <f>J11*K12/100</f>
        <v>1.7720720000000003</v>
      </c>
      <c r="M12" s="55">
        <f>L11+L12</f>
        <v>16.834684000000003</v>
      </c>
    </row>
    <row r="13" spans="2:16">
      <c r="B13" s="13"/>
      <c r="C13" s="14"/>
      <c r="D13" s="14"/>
      <c r="E13" s="14"/>
      <c r="F13" s="14"/>
      <c r="G13" s="14"/>
      <c r="H13" s="15"/>
      <c r="I13" s="16"/>
      <c r="J13" s="23"/>
      <c r="K13" s="24"/>
      <c r="L13" s="23"/>
    </row>
    <row r="14" spans="2:16">
      <c r="B14" s="31">
        <v>46023</v>
      </c>
      <c r="C14" s="32" t="s">
        <v>13</v>
      </c>
      <c r="D14" s="32">
        <v>46</v>
      </c>
      <c r="E14" s="32" t="s">
        <v>18</v>
      </c>
      <c r="F14" s="32" t="s">
        <v>19</v>
      </c>
      <c r="G14" s="32" t="s">
        <v>20</v>
      </c>
      <c r="H14" s="33">
        <v>31061</v>
      </c>
      <c r="I14" s="34" t="s">
        <v>21</v>
      </c>
      <c r="J14" s="35">
        <v>2348.9</v>
      </c>
      <c r="K14" s="36">
        <v>0.68</v>
      </c>
      <c r="L14" s="35">
        <f>J14*K14/100</f>
        <v>15.972520000000001</v>
      </c>
      <c r="P14" s="18"/>
    </row>
    <row r="15" spans="2:16" ht="18.75">
      <c r="B15" s="13"/>
      <c r="C15" s="14"/>
      <c r="D15" s="14"/>
      <c r="E15" s="14"/>
      <c r="F15" s="14"/>
      <c r="G15" s="14"/>
      <c r="H15" s="15"/>
      <c r="I15" s="16"/>
      <c r="J15" s="23"/>
      <c r="K15" s="36">
        <v>0.08</v>
      </c>
      <c r="L15" s="35">
        <f>J14*K15/100</f>
        <v>1.8791200000000001</v>
      </c>
      <c r="M15" s="56">
        <f>L14+L15</f>
        <v>17.85164</v>
      </c>
    </row>
    <row r="16" spans="2:16">
      <c r="B16" s="13"/>
      <c r="C16" s="14"/>
      <c r="D16" s="14"/>
      <c r="E16" s="14"/>
      <c r="F16" s="14"/>
      <c r="G16" s="14"/>
      <c r="H16" s="15"/>
      <c r="I16" s="16"/>
      <c r="J16" s="23"/>
      <c r="K16" s="24"/>
      <c r="L16" s="23"/>
    </row>
    <row r="17" spans="2:16">
      <c r="B17" s="25">
        <v>46023</v>
      </c>
      <c r="C17" s="26" t="s">
        <v>13</v>
      </c>
      <c r="D17" s="26"/>
      <c r="E17" s="26"/>
      <c r="F17" s="26" t="s">
        <v>30</v>
      </c>
      <c r="G17" s="26" t="s">
        <v>31</v>
      </c>
      <c r="H17" s="27"/>
      <c r="I17" s="28"/>
      <c r="J17" s="29">
        <v>1385.55</v>
      </c>
      <c r="K17" s="30">
        <v>0.68</v>
      </c>
      <c r="L17" s="29">
        <f>J17*K17/100</f>
        <v>9.4217400000000016</v>
      </c>
      <c r="P17" s="18"/>
    </row>
    <row r="18" spans="2:16" ht="18.75">
      <c r="K18" s="53">
        <v>0.08</v>
      </c>
      <c r="L18" s="54">
        <f>J17*K18/100</f>
        <v>1.1084399999999999</v>
      </c>
      <c r="M18" s="57">
        <f>L17+L18</f>
        <v>10.530180000000001</v>
      </c>
    </row>
    <row r="20" spans="2:16">
      <c r="B20" s="52" t="s">
        <v>32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</row>
  </sheetData>
  <mergeCells count="4">
    <mergeCell ref="B1:L1"/>
    <mergeCell ref="B2:L2"/>
    <mergeCell ref="B3:L3"/>
    <mergeCell ref="B20:L20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C11:G30"/>
  <sheetViews>
    <sheetView workbookViewId="0">
      <selection activeCell="G31" sqref="G31"/>
    </sheetView>
  </sheetViews>
  <sheetFormatPr baseColWidth="10" defaultRowHeight="15"/>
  <sheetData>
    <row r="11" spans="4:7">
      <c r="D11" t="s">
        <v>34</v>
      </c>
      <c r="E11" t="s">
        <v>31</v>
      </c>
    </row>
    <row r="12" spans="4:7">
      <c r="D12">
        <v>167</v>
      </c>
      <c r="E12">
        <v>167</v>
      </c>
    </row>
    <row r="13" spans="4:7">
      <c r="D13" t="s">
        <v>33</v>
      </c>
      <c r="E13" t="s">
        <v>35</v>
      </c>
    </row>
    <row r="14" spans="4:7">
      <c r="D14">
        <f>167*31.04/35</f>
        <v>148.10514285714285</v>
      </c>
      <c r="E14">
        <f>E12*23.7/35</f>
        <v>113.08285714285715</v>
      </c>
    </row>
    <row r="15" spans="4:7">
      <c r="D15" s="45">
        <f>D14/12*3</f>
        <v>37.026285714285713</v>
      </c>
      <c r="E15" s="45">
        <f>E14/12*5</f>
        <v>47.117857142857147</v>
      </c>
      <c r="F15" s="45">
        <f>E14/12*20/30</f>
        <v>6.2823809523809526</v>
      </c>
      <c r="G15" s="45">
        <f>E15+F15</f>
        <v>53.400238095238102</v>
      </c>
    </row>
    <row r="19" spans="3:7">
      <c r="D19" s="47">
        <f>D14/12</f>
        <v>12.342095238095238</v>
      </c>
      <c r="E19" s="47">
        <f>E14/12</f>
        <v>9.4235714285714298</v>
      </c>
    </row>
    <row r="24" spans="3:7">
      <c r="C24">
        <v>150</v>
      </c>
      <c r="D24">
        <v>1</v>
      </c>
      <c r="F24">
        <v>204</v>
      </c>
      <c r="G24">
        <v>1</v>
      </c>
    </row>
    <row r="25" spans="3:7">
      <c r="C25">
        <v>135</v>
      </c>
      <c r="D25">
        <v>0.9</v>
      </c>
      <c r="F25">
        <v>142.80000000000001</v>
      </c>
      <c r="G25">
        <v>0.7</v>
      </c>
    </row>
    <row r="26" spans="3:7">
      <c r="C26">
        <f>135+12.34</f>
        <v>147.34</v>
      </c>
      <c r="D26" s="48">
        <f>C26*D25/C25</f>
        <v>0.98226666666666662</v>
      </c>
      <c r="F26">
        <f>F25+9.42</f>
        <v>152.22</v>
      </c>
      <c r="G26" s="48">
        <f>F26*G25/F25</f>
        <v>0.74617647058823511</v>
      </c>
    </row>
    <row r="29" spans="3:7">
      <c r="F29">
        <v>35</v>
      </c>
      <c r="G29">
        <v>100</v>
      </c>
    </row>
    <row r="30" spans="3:7">
      <c r="F30">
        <v>23.7</v>
      </c>
      <c r="G30">
        <f>F30*G29/F29</f>
        <v>67.714285714285708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avril</vt:lpstr>
      <vt:lpstr>mars</vt:lpstr>
      <vt:lpstr>octobre</vt:lpstr>
      <vt:lpstr>Feuil1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2026-01-06T14:22:26Z</cp:lastPrinted>
  <dcterms:created xsi:type="dcterms:W3CDTF">2024-07-08T12:38:26Z</dcterms:created>
  <dcterms:modified xsi:type="dcterms:W3CDTF">2026-01-06T14:37:06Z</dcterms:modified>
</cp:coreProperties>
</file>