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8915" windowHeight="11760" activeTab="1"/>
  </bookViews>
  <sheets>
    <sheet name="notation" sheetId="1" r:id="rId1"/>
    <sheet name="honoraires" sheetId="5" r:id="rId2"/>
  </sheets>
  <calcPr calcId="125725"/>
</workbook>
</file>

<file path=xl/calcChain.xml><?xml version="1.0" encoding="utf-8"?>
<calcChain xmlns="http://schemas.openxmlformats.org/spreadsheetml/2006/main">
  <c r="H21" i="5"/>
  <c r="G21"/>
  <c r="K12"/>
  <c r="J12"/>
  <c r="H12"/>
  <c r="K11"/>
  <c r="J11"/>
  <c r="K8"/>
  <c r="H8"/>
  <c r="J8"/>
  <c r="I16"/>
  <c r="G16"/>
  <c r="H14"/>
  <c r="H9"/>
  <c r="H16" s="1"/>
  <c r="H7"/>
  <c r="G5"/>
  <c r="F16"/>
  <c r="D16"/>
  <c r="E14"/>
  <c r="E11"/>
  <c r="E9"/>
  <c r="E8"/>
  <c r="E7"/>
  <c r="D5"/>
  <c r="J21" i="1"/>
  <c r="K21" s="1"/>
  <c r="J22"/>
  <c r="K22" s="1"/>
  <c r="F21"/>
  <c r="G21" s="1"/>
  <c r="F22"/>
  <c r="G22" s="1"/>
  <c r="F16"/>
  <c r="G16" s="1"/>
  <c r="F17"/>
  <c r="G17" s="1"/>
  <c r="F18"/>
  <c r="G18" s="1"/>
  <c r="F19"/>
  <c r="G19" s="1"/>
  <c r="F20"/>
  <c r="G20" s="1"/>
  <c r="F23"/>
  <c r="G23" s="1"/>
  <c r="F24"/>
  <c r="G24" s="1"/>
  <c r="F15"/>
  <c r="G15" s="1"/>
  <c r="J16"/>
  <c r="K16" s="1"/>
  <c r="J17"/>
  <c r="K17" s="1"/>
  <c r="J18"/>
  <c r="K18" s="1"/>
  <c r="J19"/>
  <c r="K19" s="1"/>
  <c r="J20"/>
  <c r="K20" s="1"/>
  <c r="J23"/>
  <c r="K23" s="1"/>
  <c r="J24"/>
  <c r="K24" s="1"/>
  <c r="J15"/>
  <c r="K15" s="1"/>
  <c r="E16" i="5" l="1"/>
  <c r="L22" i="1"/>
  <c r="L21"/>
  <c r="L18"/>
  <c r="L19"/>
  <c r="L24"/>
  <c r="L20"/>
  <c r="L16"/>
  <c r="L23"/>
  <c r="L17"/>
  <c r="L15"/>
</calcChain>
</file>

<file path=xl/sharedStrings.xml><?xml version="1.0" encoding="utf-8"?>
<sst xmlns="http://schemas.openxmlformats.org/spreadsheetml/2006/main" count="68" uniqueCount="51">
  <si>
    <t>Valeur technique</t>
  </si>
  <si>
    <t>Valeur technique pondérée</t>
  </si>
  <si>
    <t>Opérateurs économiques</t>
  </si>
  <si>
    <t>Valeur financière</t>
  </si>
  <si>
    <t>Valeur financière pondérée</t>
  </si>
  <si>
    <t>ordre des  plis</t>
  </si>
  <si>
    <t>note de 0 à 20</t>
  </si>
  <si>
    <t>Note totaleLe 1° est le candidat qui à la plus garnde note</t>
  </si>
  <si>
    <t xml:space="preserve"> Prix proposé par le candidat</t>
  </si>
  <si>
    <t>Prix le plus bas</t>
  </si>
  <si>
    <t>Attention :  ne pas modifier les cellules en jaune</t>
  </si>
  <si>
    <t>Grille d'attribution pour calcul de note</t>
  </si>
  <si>
    <t>NOM</t>
  </si>
  <si>
    <t>Approche méthodologique proposée</t>
  </si>
  <si>
    <t>Références présentées au sein du dossier d’œuvres</t>
  </si>
  <si>
    <t>note de 0 à 50</t>
  </si>
  <si>
    <t>note de 0 à 30</t>
  </si>
  <si>
    <t>Equipe affectée à la prestation</t>
  </si>
  <si>
    <t>C + M ARCHITECTES</t>
  </si>
  <si>
    <t xml:space="preserve">AMO-PARTNERS </t>
  </si>
  <si>
    <t>atelier neyrat michelet</t>
  </si>
  <si>
    <t>DRILLON GAROND ARCHITECTURE</t>
  </si>
  <si>
    <t>CORNET GUILLAUME RENOUF architectes</t>
  </si>
  <si>
    <t>Agence Didier POURTIER</t>
  </si>
  <si>
    <t>SODA Architectes</t>
  </si>
  <si>
    <t>BUA Frédérique Architecte</t>
  </si>
  <si>
    <t>Caroline Charles Architecte</t>
  </si>
  <si>
    <t>Atelier LAMBERT</t>
  </si>
  <si>
    <t>Commune d'Oriolles</t>
  </si>
  <si>
    <t>Rang après Négociation</t>
  </si>
  <si>
    <t>Rang avant Négociation</t>
  </si>
  <si>
    <t>ENTREPRISE
Raison sociale, CP, Ville</t>
  </si>
  <si>
    <t>TOTAL € HT</t>
  </si>
  <si>
    <t>OPC HT</t>
  </si>
  <si>
    <t>TX HON</t>
  </si>
  <si>
    <t>Estimation basse préalable &gt;</t>
  </si>
  <si>
    <t xml:space="preserve">Dont </t>
  </si>
  <si>
    <t>Jonzac</t>
  </si>
  <si>
    <t>Paris</t>
  </si>
  <si>
    <t>Angoulême</t>
  </si>
  <si>
    <t>Bordeaux</t>
  </si>
  <si>
    <t>Bègles</t>
  </si>
  <si>
    <t>Saint-Yrieix-sur-Charente</t>
  </si>
  <si>
    <t>Burie</t>
  </si>
  <si>
    <t>MOYENNE</t>
  </si>
  <si>
    <t>Avant Négociation</t>
  </si>
  <si>
    <t>Après négociation</t>
  </si>
  <si>
    <t>calcul de taux</t>
  </si>
  <si>
    <t>baisse</t>
  </si>
  <si>
    <t>NOTA : SODA propose de ne pas inclure la mission OPC au vu du chantier, de sa complexité et des délais. L'opération pourrait être réalisée alors pour un montant HT de :</t>
  </si>
  <si>
    <t>taux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</si>
</sst>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&quot; €&quot;"/>
    <numFmt numFmtId="166" formatCode="#,##0.00_ ;\-#,##0.00\ "/>
    <numFmt numFmtId="167" formatCode="#,##0.0000_ ;\-#,##0.0000\ 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  <charset val="1"/>
    </font>
    <font>
      <sz val="11"/>
      <color indexed="63"/>
      <name val="Arial"/>
      <family val="2"/>
      <charset val="1"/>
    </font>
    <font>
      <b/>
      <sz val="16"/>
      <color theme="1"/>
      <name val="Calibri"/>
      <family val="2"/>
      <scheme val="minor"/>
    </font>
    <font>
      <b/>
      <sz val="10"/>
      <name val="Arial"/>
      <family val="2"/>
      <charset val="1"/>
    </font>
    <font>
      <b/>
      <sz val="11"/>
      <color indexed="10"/>
      <name val="Arial"/>
      <family val="2"/>
      <charset val="1"/>
    </font>
    <font>
      <sz val="8"/>
      <name val="Arial"/>
      <family val="2"/>
      <charset val="1"/>
    </font>
    <font>
      <b/>
      <sz val="14"/>
      <color theme="1"/>
      <name val="Calibri"/>
      <family val="2"/>
      <scheme val="minor"/>
    </font>
    <font>
      <b/>
      <sz val="11"/>
      <color indexed="63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b/>
      <i/>
      <sz val="11"/>
      <color theme="1"/>
      <name val="Calibri"/>
      <family val="2"/>
      <scheme val="minor"/>
    </font>
    <font>
      <b/>
      <u/>
      <sz val="14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13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rgb="FF000000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8"/>
      </top>
      <bottom/>
      <diagonal/>
    </border>
    <border>
      <left style="thick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textRotation="64"/>
    </xf>
    <xf numFmtId="49" fontId="0" fillId="2" borderId="2" xfId="0" applyNumberFormat="1" applyFill="1" applyBorder="1" applyAlignment="1">
      <alignment horizontal="center" textRotation="64"/>
    </xf>
    <xf numFmtId="49" fontId="0" fillId="4" borderId="2" xfId="0" applyNumberFormat="1" applyFill="1" applyBorder="1" applyAlignment="1">
      <alignment horizontal="center" textRotation="64"/>
    </xf>
    <xf numFmtId="49" fontId="0" fillId="0" borderId="2" xfId="0" applyNumberFormat="1" applyBorder="1" applyAlignment="1">
      <alignment horizontal="center" textRotation="64"/>
    </xf>
    <xf numFmtId="0" fontId="1" fillId="2" borderId="4" xfId="0" applyFont="1" applyFill="1" applyBorder="1"/>
    <xf numFmtId="10" fontId="1" fillId="3" borderId="4" xfId="0" applyNumberFormat="1" applyFont="1" applyFill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9" fontId="1" fillId="2" borderId="4" xfId="0" applyNumberFormat="1" applyFont="1" applyFill="1" applyBorder="1"/>
    <xf numFmtId="0" fontId="5" fillId="0" borderId="10" xfId="0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/>
    <xf numFmtId="0" fontId="0" fillId="0" borderId="11" xfId="0" applyBorder="1"/>
    <xf numFmtId="0" fontId="0" fillId="0" borderId="12" xfId="0" applyBorder="1"/>
    <xf numFmtId="0" fontId="4" fillId="0" borderId="10" xfId="0" applyFont="1" applyBorder="1" applyAlignment="1"/>
    <xf numFmtId="0" fontId="4" fillId="0" borderId="12" xfId="0" applyFont="1" applyBorder="1" applyAlignment="1"/>
    <xf numFmtId="0" fontId="0" fillId="0" borderId="0" xfId="0" applyAlignment="1">
      <alignment wrapText="1"/>
    </xf>
    <xf numFmtId="0" fontId="1" fillId="4" borderId="0" xfId="0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1" fillId="5" borderId="6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0" fillId="5" borderId="1" xfId="0" applyFill="1" applyBorder="1"/>
    <xf numFmtId="44" fontId="7" fillId="5" borderId="15" xfId="1" applyNumberFormat="1" applyFont="1" applyFill="1" applyBorder="1" applyAlignment="1">
      <alignment horizontal="center" vertical="center"/>
    </xf>
    <xf numFmtId="164" fontId="0" fillId="5" borderId="1" xfId="0" applyNumberFormat="1" applyFill="1" applyBorder="1"/>
    <xf numFmtId="2" fontId="0" fillId="5" borderId="1" xfId="0" applyNumberFormat="1" applyFill="1" applyBorder="1"/>
    <xf numFmtId="2" fontId="0" fillId="5" borderId="7" xfId="0" applyNumberFormat="1" applyFill="1" applyBorder="1"/>
    <xf numFmtId="44" fontId="7" fillId="5" borderId="14" xfId="1" applyNumberFormat="1" applyFont="1" applyFill="1" applyBorder="1" applyAlignment="1">
      <alignment horizontal="center" vertical="center"/>
    </xf>
    <xf numFmtId="0" fontId="0" fillId="6" borderId="0" xfId="0" applyFill="1"/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9" fillId="7" borderId="17" xfId="1" applyFont="1" applyFill="1" applyBorder="1" applyAlignment="1">
      <alignment horizontal="center" vertical="center" wrapText="1"/>
    </xf>
    <xf numFmtId="0" fontId="9" fillId="7" borderId="18" xfId="1" applyFont="1" applyFill="1" applyBorder="1" applyAlignment="1">
      <alignment horizontal="center" vertical="center"/>
    </xf>
    <xf numFmtId="0" fontId="6" fillId="0" borderId="0" xfId="1" applyAlignment="1">
      <alignment horizontal="left" vertical="center"/>
    </xf>
    <xf numFmtId="0" fontId="9" fillId="7" borderId="0" xfId="1" applyFont="1" applyFill="1" applyBorder="1" applyAlignment="1">
      <alignment horizontal="center" vertical="center"/>
    </xf>
    <xf numFmtId="165" fontId="10" fillId="9" borderId="19" xfId="1" applyNumberFormat="1" applyFont="1" applyFill="1" applyBorder="1" applyAlignment="1">
      <alignment horizontal="center" vertical="center"/>
    </xf>
    <xf numFmtId="44" fontId="7" fillId="0" borderId="20" xfId="1" applyNumberFormat="1" applyFont="1" applyBorder="1" applyAlignment="1">
      <alignment horizontal="center" vertical="center"/>
    </xf>
    <xf numFmtId="44" fontId="7" fillId="0" borderId="21" xfId="1" applyNumberFormat="1" applyFont="1" applyBorder="1" applyAlignment="1">
      <alignment horizontal="center" vertical="center"/>
    </xf>
    <xf numFmtId="0" fontId="6" fillId="0" borderId="0" xfId="1" applyAlignment="1">
      <alignment horizontal="center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6" fillId="0" borderId="0" xfId="1"/>
    <xf numFmtId="44" fontId="7" fillId="5" borderId="2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23" xfId="0" applyFont="1" applyBorder="1" applyAlignment="1">
      <alignment horizontal="center" vertical="center"/>
    </xf>
    <xf numFmtId="0" fontId="9" fillId="7" borderId="25" xfId="1" applyFont="1" applyFill="1" applyBorder="1" applyAlignment="1">
      <alignment horizontal="center" vertical="center" wrapText="1"/>
    </xf>
    <xf numFmtId="0" fontId="6" fillId="8" borderId="0" xfId="1" applyFont="1" applyFill="1" applyBorder="1" applyAlignment="1">
      <alignment horizontal="right" vertical="center"/>
    </xf>
    <xf numFmtId="0" fontId="0" fillId="0" borderId="26" xfId="0" applyBorder="1"/>
    <xf numFmtId="0" fontId="0" fillId="5" borderId="2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2" fillId="0" borderId="3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9" fillId="7" borderId="34" xfId="1" applyFont="1" applyFill="1" applyBorder="1" applyAlignment="1">
      <alignment horizontal="center" vertical="center"/>
    </xf>
    <xf numFmtId="0" fontId="9" fillId="7" borderId="35" xfId="1" applyFont="1" applyFill="1" applyBorder="1" applyAlignment="1">
      <alignment horizontal="center" vertical="center"/>
    </xf>
    <xf numFmtId="165" fontId="10" fillId="9" borderId="36" xfId="1" applyNumberFormat="1" applyFont="1" applyFill="1" applyBorder="1" applyAlignment="1">
      <alignment horizontal="center" vertical="center"/>
    </xf>
    <xf numFmtId="165" fontId="10" fillId="9" borderId="37" xfId="1" applyNumberFormat="1" applyFont="1" applyFill="1" applyBorder="1" applyAlignment="1">
      <alignment horizontal="center" vertical="center"/>
    </xf>
    <xf numFmtId="44" fontId="7" fillId="0" borderId="38" xfId="1" applyNumberFormat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44" fontId="7" fillId="0" borderId="40" xfId="1" applyNumberFormat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166" fontId="7" fillId="0" borderId="41" xfId="1" applyNumberFormat="1" applyFont="1" applyBorder="1" applyAlignment="1">
      <alignment horizontal="center" vertical="center"/>
    </xf>
    <xf numFmtId="44" fontId="7" fillId="5" borderId="42" xfId="1" applyNumberFormat="1" applyFont="1" applyFill="1" applyBorder="1" applyAlignment="1">
      <alignment horizontal="center" vertical="center"/>
    </xf>
    <xf numFmtId="0" fontId="7" fillId="5" borderId="43" xfId="1" applyFont="1" applyFill="1" applyBorder="1" applyAlignment="1">
      <alignment horizontal="center" vertical="center"/>
    </xf>
    <xf numFmtId="44" fontId="7" fillId="0" borderId="44" xfId="1" applyNumberFormat="1" applyFont="1" applyBorder="1" applyAlignment="1">
      <alignment horizontal="center" vertical="center"/>
    </xf>
    <xf numFmtId="44" fontId="7" fillId="0" borderId="45" xfId="1" applyNumberFormat="1" applyFont="1" applyBorder="1" applyAlignment="1">
      <alignment horizontal="center" vertical="center"/>
    </xf>
    <xf numFmtId="0" fontId="6" fillId="0" borderId="46" xfId="1" applyBorder="1" applyAlignment="1">
      <alignment horizontal="center"/>
    </xf>
    <xf numFmtId="0" fontId="12" fillId="0" borderId="3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1" xfId="0" applyFont="1" applyBorder="1" applyAlignment="1">
      <alignment horizontal="center"/>
    </xf>
    <xf numFmtId="0" fontId="0" fillId="0" borderId="30" xfId="0" applyBorder="1"/>
    <xf numFmtId="0" fontId="0" fillId="0" borderId="0" xfId="0" applyBorder="1"/>
    <xf numFmtId="0" fontId="0" fillId="0" borderId="31" xfId="0" applyBorder="1"/>
    <xf numFmtId="44" fontId="7" fillId="5" borderId="40" xfId="1" applyNumberFormat="1" applyFont="1" applyFill="1" applyBorder="1" applyAlignment="1">
      <alignment horizontal="center" vertical="center"/>
    </xf>
    <xf numFmtId="44" fontId="7" fillId="5" borderId="21" xfId="1" applyNumberFormat="1" applyFont="1" applyFill="1" applyBorder="1" applyAlignment="1">
      <alignment horizontal="center" vertical="center"/>
    </xf>
    <xf numFmtId="166" fontId="7" fillId="5" borderId="41" xfId="1" applyNumberFormat="1" applyFont="1" applyFill="1" applyBorder="1" applyAlignment="1">
      <alignment horizontal="center" vertical="center"/>
    </xf>
    <xf numFmtId="0" fontId="7" fillId="5" borderId="41" xfId="1" applyFont="1" applyFill="1" applyBorder="1" applyAlignment="1">
      <alignment horizontal="center" vertical="center"/>
    </xf>
    <xf numFmtId="44" fontId="13" fillId="5" borderId="40" xfId="1" applyNumberFormat="1" applyFont="1" applyFill="1" applyBorder="1" applyAlignment="1">
      <alignment horizontal="center" vertical="center"/>
    </xf>
    <xf numFmtId="44" fontId="13" fillId="5" borderId="21" xfId="1" applyNumberFormat="1" applyFont="1" applyFill="1" applyBorder="1" applyAlignment="1">
      <alignment horizontal="center" vertical="center"/>
    </xf>
    <xf numFmtId="166" fontId="13" fillId="5" borderId="0" xfId="1" applyNumberFormat="1" applyFont="1" applyFill="1" applyBorder="1" applyAlignment="1">
      <alignment horizontal="center" vertical="center"/>
    </xf>
    <xf numFmtId="44" fontId="13" fillId="5" borderId="42" xfId="1" applyNumberFormat="1" applyFont="1" applyFill="1" applyBorder="1" applyAlignment="1">
      <alignment horizontal="center" vertical="center"/>
    </xf>
    <xf numFmtId="44" fontId="13" fillId="5" borderId="22" xfId="1" applyNumberFormat="1" applyFont="1" applyFill="1" applyBorder="1" applyAlignment="1">
      <alignment horizontal="center" vertical="center"/>
    </xf>
    <xf numFmtId="165" fontId="10" fillId="9" borderId="47" xfId="1" applyNumberFormat="1" applyFont="1" applyFill="1" applyBorder="1" applyAlignment="1">
      <alignment horizontal="center" vertical="center"/>
    </xf>
    <xf numFmtId="0" fontId="7" fillId="0" borderId="48" xfId="1" applyFont="1" applyBorder="1" applyAlignment="1">
      <alignment horizontal="center" vertical="center"/>
    </xf>
    <xf numFmtId="0" fontId="7" fillId="0" borderId="49" xfId="1" applyFont="1" applyBorder="1" applyAlignment="1">
      <alignment horizontal="center" vertical="center"/>
    </xf>
    <xf numFmtId="0" fontId="13" fillId="5" borderId="49" xfId="1" applyFont="1" applyFill="1" applyBorder="1" applyAlignment="1">
      <alignment horizontal="center" vertical="center"/>
    </xf>
    <xf numFmtId="0" fontId="13" fillId="5" borderId="50" xfId="1" applyFont="1" applyFill="1" applyBorder="1" applyAlignment="1">
      <alignment horizontal="center" vertical="center"/>
    </xf>
    <xf numFmtId="166" fontId="7" fillId="0" borderId="49" xfId="1" applyNumberFormat="1" applyFont="1" applyBorder="1" applyAlignment="1">
      <alignment horizontal="center" vertical="center"/>
    </xf>
    <xf numFmtId="0" fontId="6" fillId="0" borderId="51" xfId="1" applyBorder="1" applyAlignment="1">
      <alignment horizontal="center"/>
    </xf>
    <xf numFmtId="0" fontId="6" fillId="0" borderId="1" xfId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/>
    </xf>
    <xf numFmtId="0" fontId="6" fillId="4" borderId="1" xfId="1" applyFill="1" applyBorder="1" applyAlignment="1">
      <alignment horizontal="left" vertical="center"/>
    </xf>
    <xf numFmtId="0" fontId="6" fillId="0" borderId="1" xfId="1" applyBorder="1" applyAlignment="1">
      <alignment horizontal="left" vertical="center"/>
    </xf>
    <xf numFmtId="167" fontId="7" fillId="5" borderId="1" xfId="1" applyNumberFormat="1" applyFont="1" applyFill="1" applyBorder="1" applyAlignment="1">
      <alignment horizontal="center" vertical="center"/>
    </xf>
    <xf numFmtId="0" fontId="6" fillId="0" borderId="1" xfId="1" applyBorder="1"/>
    <xf numFmtId="44" fontId="15" fillId="0" borderId="1" xfId="2" applyNumberFormat="1" applyBorder="1" applyAlignment="1" applyProtection="1">
      <alignment horizontal="left" vertical="center"/>
    </xf>
    <xf numFmtId="0" fontId="16" fillId="0" borderId="0" xfId="0" applyFont="1" applyAlignment="1">
      <alignment horizontal="left" wrapText="1"/>
    </xf>
    <xf numFmtId="167" fontId="0" fillId="0" borderId="0" xfId="0" applyNumberFormat="1"/>
    <xf numFmtId="0" fontId="0" fillId="6" borderId="1" xfId="0" applyFill="1" applyBorder="1"/>
    <xf numFmtId="44" fontId="7" fillId="6" borderId="13" xfId="1" applyNumberFormat="1" applyFont="1" applyFill="1" applyBorder="1" applyAlignment="1">
      <alignment horizontal="center" vertical="center"/>
    </xf>
    <xf numFmtId="164" fontId="0" fillId="6" borderId="1" xfId="0" applyNumberFormat="1" applyFill="1" applyBorder="1"/>
    <xf numFmtId="2" fontId="0" fillId="6" borderId="1" xfId="0" applyNumberFormat="1" applyFill="1" applyBorder="1"/>
    <xf numFmtId="2" fontId="0" fillId="6" borderId="7" xfId="0" applyNumberFormat="1" applyFill="1" applyBorder="1"/>
    <xf numFmtId="44" fontId="7" fillId="6" borderId="14" xfId="1" applyNumberFormat="1" applyFont="1" applyFill="1" applyBorder="1" applyAlignment="1">
      <alignment horizontal="center" vertical="center"/>
    </xf>
    <xf numFmtId="0" fontId="0" fillId="6" borderId="8" xfId="0" applyFill="1" applyBorder="1"/>
    <xf numFmtId="44" fontId="7" fillId="6" borderId="16" xfId="1" applyNumberFormat="1" applyFont="1" applyFill="1" applyBorder="1" applyAlignment="1">
      <alignment horizontal="center" vertical="center"/>
    </xf>
    <xf numFmtId="2" fontId="0" fillId="6" borderId="8" xfId="0" applyNumberFormat="1" applyFill="1" applyBorder="1"/>
    <xf numFmtId="2" fontId="0" fillId="6" borderId="9" xfId="0" applyNumberFormat="1" applyFill="1" applyBorder="1"/>
    <xf numFmtId="0" fontId="12" fillId="2" borderId="0" xfId="0" applyFont="1" applyFill="1" applyAlignment="1">
      <alignment horizontal="center"/>
    </xf>
    <xf numFmtId="44" fontId="17" fillId="0" borderId="24" xfId="2" applyNumberFormat="1" applyFont="1" applyBorder="1" applyAlignment="1" applyProtection="1"/>
  </cellXfs>
  <cellStyles count="3">
    <cellStyle name="Excel Built-in Normal" xfId="1"/>
    <cellStyle name="Lien hypertexte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</xdr:col>
      <xdr:colOff>1416327</xdr:colOff>
      <xdr:row>5</xdr:row>
      <xdr:rowOff>66261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523" y="190500"/>
          <a:ext cx="1416326" cy="8282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SODA\AE%20MODIFIE-18-07-18.pdf" TargetMode="External"/><Relationship Id="rId2" Type="http://schemas.openxmlformats.org/officeDocument/2006/relationships/hyperlink" Target="Pourtier\AE-CCAP-a%20(version%202)%20n&#233;go.pdf" TargetMode="External"/><Relationship Id="rId1" Type="http://schemas.openxmlformats.org/officeDocument/2006/relationships/hyperlink" Target="Neyrat%20Michelet\AE-CCAP%20ne&#769;gocie&#769;%20ANM.pdf" TargetMode="External"/><Relationship Id="rId4" Type="http://schemas.openxmlformats.org/officeDocument/2006/relationships/hyperlink" Target="SODA\courri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32"/>
  <sheetViews>
    <sheetView topLeftCell="B14" zoomScale="115" zoomScaleNormal="115" workbookViewId="0">
      <selection activeCell="F29" sqref="F29"/>
    </sheetView>
  </sheetViews>
  <sheetFormatPr baseColWidth="10" defaultRowHeight="15"/>
  <cols>
    <col min="1" max="1" width="7.7109375" customWidth="1"/>
    <col min="2" max="2" width="44.28515625" bestFit="1" customWidth="1"/>
    <col min="3" max="3" width="8.140625" customWidth="1"/>
    <col min="4" max="4" width="7.7109375" customWidth="1"/>
    <col min="5" max="5" width="6.7109375" customWidth="1"/>
    <col min="6" max="6" width="7.7109375" customWidth="1"/>
    <col min="7" max="7" width="5.42578125" customWidth="1"/>
    <col min="8" max="8" width="13.42578125" bestFit="1" customWidth="1"/>
    <col min="9" max="9" width="11.5703125" bestFit="1" customWidth="1"/>
    <col min="10" max="10" width="12.28515625" customWidth="1"/>
    <col min="11" max="11" width="9" bestFit="1" customWidth="1"/>
    <col min="12" max="12" width="11" customWidth="1"/>
  </cols>
  <sheetData>
    <row r="3" spans="1:14">
      <c r="C3" s="25" t="s">
        <v>28</v>
      </c>
      <c r="D3" s="25"/>
      <c r="E3" s="25"/>
      <c r="F3" s="25"/>
      <c r="G3" s="25"/>
      <c r="H3" s="25"/>
    </row>
    <row r="4" spans="1:14">
      <c r="C4" s="25"/>
      <c r="D4" s="25"/>
      <c r="E4" s="25"/>
      <c r="F4" s="25"/>
      <c r="G4" s="25"/>
      <c r="H4" s="25"/>
    </row>
    <row r="5" spans="1:14">
      <c r="C5" s="25"/>
      <c r="D5" s="25"/>
      <c r="E5" s="25"/>
      <c r="F5" s="25"/>
      <c r="G5" s="25"/>
      <c r="H5" s="25"/>
    </row>
    <row r="11" spans="1:14" ht="15.75" thickBot="1"/>
    <row r="12" spans="1:14" ht="16.5" thickBot="1">
      <c r="B12" s="21" t="s">
        <v>10</v>
      </c>
      <c r="C12" s="22"/>
      <c r="D12" s="20"/>
      <c r="E12" s="16" t="s">
        <v>11</v>
      </c>
      <c r="F12" s="17"/>
      <c r="G12" s="18"/>
      <c r="H12" s="19"/>
      <c r="I12" s="20"/>
    </row>
    <row r="13" spans="1:14" ht="245.25" thickBot="1">
      <c r="B13" s="4" t="s">
        <v>2</v>
      </c>
      <c r="C13" s="4" t="s">
        <v>13</v>
      </c>
      <c r="D13" s="4" t="s">
        <v>14</v>
      </c>
      <c r="E13" s="4" t="s">
        <v>17</v>
      </c>
      <c r="F13" s="5" t="s">
        <v>0</v>
      </c>
      <c r="G13" s="5" t="s">
        <v>1</v>
      </c>
      <c r="H13" s="6" t="s">
        <v>8</v>
      </c>
      <c r="I13" s="7" t="s">
        <v>9</v>
      </c>
      <c r="J13" s="5" t="s">
        <v>3</v>
      </c>
      <c r="K13" s="5" t="s">
        <v>4</v>
      </c>
      <c r="L13" s="5" t="s">
        <v>7</v>
      </c>
    </row>
    <row r="14" spans="1:14" ht="45.75" thickBot="1">
      <c r="A14" s="13" t="s">
        <v>5</v>
      </c>
      <c r="B14" s="12" t="s">
        <v>12</v>
      </c>
      <c r="C14" s="14" t="s">
        <v>15</v>
      </c>
      <c r="D14" s="14" t="s">
        <v>16</v>
      </c>
      <c r="E14" s="14" t="s">
        <v>6</v>
      </c>
      <c r="F14" s="8">
        <v>100</v>
      </c>
      <c r="G14" s="15">
        <v>0.6</v>
      </c>
      <c r="H14" s="9"/>
      <c r="I14" s="9"/>
      <c r="J14" s="8"/>
      <c r="K14" s="15">
        <v>0.4</v>
      </c>
      <c r="L14" s="10">
        <v>100</v>
      </c>
      <c r="M14" s="23" t="s">
        <v>30</v>
      </c>
      <c r="N14" s="23" t="s">
        <v>29</v>
      </c>
    </row>
    <row r="15" spans="1:14" ht="17.25" thickTop="1" thickBot="1">
      <c r="A15" s="11">
        <v>1</v>
      </c>
      <c r="B15" s="12" t="s">
        <v>18</v>
      </c>
      <c r="C15" s="108">
        <v>25</v>
      </c>
      <c r="D15" s="108">
        <v>10</v>
      </c>
      <c r="E15" s="108">
        <v>15</v>
      </c>
      <c r="F15" s="108">
        <f>+C15+D15+E15</f>
        <v>50</v>
      </c>
      <c r="G15" s="108">
        <f>F15*G$14</f>
        <v>30</v>
      </c>
      <c r="H15" s="109">
        <v>57888</v>
      </c>
      <c r="I15" s="110">
        <v>39020.800000000003</v>
      </c>
      <c r="J15" s="111">
        <f>(I15/H15)*100</f>
        <v>67.407407407407419</v>
      </c>
      <c r="K15" s="111">
        <f>J15*K$14</f>
        <v>26.962962962962969</v>
      </c>
      <c r="L15" s="112">
        <f>K15+G15</f>
        <v>56.962962962962969</v>
      </c>
      <c r="M15" s="35">
        <v>8</v>
      </c>
      <c r="N15" s="34"/>
    </row>
    <row r="16" spans="1:14" ht="16.5" thickBot="1">
      <c r="A16" s="11">
        <v>2</v>
      </c>
      <c r="B16" s="12" t="s">
        <v>19</v>
      </c>
      <c r="C16" s="108">
        <v>30</v>
      </c>
      <c r="D16" s="108">
        <v>10</v>
      </c>
      <c r="E16" s="108">
        <v>15</v>
      </c>
      <c r="F16" s="108">
        <f t="shared" ref="F16:F24" si="0">+C16+D16+E16</f>
        <v>55</v>
      </c>
      <c r="G16" s="108">
        <f t="shared" ref="G16:G24" si="1">F16*G$14</f>
        <v>33</v>
      </c>
      <c r="H16" s="113">
        <v>55744</v>
      </c>
      <c r="I16" s="110">
        <v>39020.800000000003</v>
      </c>
      <c r="J16" s="111">
        <f t="shared" ref="J16:J24" si="2">(I16/H16)*100</f>
        <v>70</v>
      </c>
      <c r="K16" s="111">
        <f t="shared" ref="K16:K24" si="3">J16*K$14</f>
        <v>28</v>
      </c>
      <c r="L16" s="112">
        <f t="shared" ref="L16:L24" si="4">K16+G16</f>
        <v>61</v>
      </c>
      <c r="M16" s="35">
        <v>7</v>
      </c>
      <c r="N16" s="34"/>
    </row>
    <row r="17" spans="1:14" ht="16.5" thickBot="1">
      <c r="A17" s="26">
        <v>3</v>
      </c>
      <c r="B17" s="27" t="s">
        <v>20</v>
      </c>
      <c r="C17" s="28">
        <v>35</v>
      </c>
      <c r="D17" s="28">
        <v>20</v>
      </c>
      <c r="E17" s="28">
        <v>15</v>
      </c>
      <c r="F17" s="28">
        <f t="shared" si="0"/>
        <v>70</v>
      </c>
      <c r="G17" s="28">
        <f t="shared" si="1"/>
        <v>42</v>
      </c>
      <c r="H17" s="33">
        <v>44370</v>
      </c>
      <c r="I17" s="30">
        <v>44370</v>
      </c>
      <c r="J17" s="31">
        <f t="shared" si="2"/>
        <v>100</v>
      </c>
      <c r="K17" s="31">
        <f t="shared" si="3"/>
        <v>40</v>
      </c>
      <c r="L17" s="32">
        <f t="shared" si="4"/>
        <v>82</v>
      </c>
      <c r="M17" s="36">
        <v>2</v>
      </c>
      <c r="N17" s="49">
        <v>2</v>
      </c>
    </row>
    <row r="18" spans="1:14" ht="16.5" thickBot="1">
      <c r="A18" s="11">
        <v>4</v>
      </c>
      <c r="B18" s="12" t="s">
        <v>21</v>
      </c>
      <c r="C18" s="108">
        <v>10</v>
      </c>
      <c r="D18" s="108">
        <v>5</v>
      </c>
      <c r="E18" s="108">
        <v>10</v>
      </c>
      <c r="F18" s="108">
        <f t="shared" si="0"/>
        <v>25</v>
      </c>
      <c r="G18" s="108">
        <f t="shared" si="1"/>
        <v>15</v>
      </c>
      <c r="H18" s="113">
        <v>50920</v>
      </c>
      <c r="I18" s="110">
        <v>39020.800000000003</v>
      </c>
      <c r="J18" s="111">
        <f t="shared" si="2"/>
        <v>76.631578947368425</v>
      </c>
      <c r="K18" s="111">
        <f t="shared" si="3"/>
        <v>30.652631578947371</v>
      </c>
      <c r="L18" s="112">
        <f t="shared" si="4"/>
        <v>45.652631578947371</v>
      </c>
      <c r="M18" s="35">
        <v>10</v>
      </c>
      <c r="N18" s="34"/>
    </row>
    <row r="19" spans="1:14" ht="16.5" thickBot="1">
      <c r="A19" s="11">
        <v>5</v>
      </c>
      <c r="B19" s="12" t="s">
        <v>22</v>
      </c>
      <c r="C19" s="108">
        <v>15</v>
      </c>
      <c r="D19" s="108">
        <v>10</v>
      </c>
      <c r="E19" s="108">
        <v>15</v>
      </c>
      <c r="F19" s="108">
        <f t="shared" si="0"/>
        <v>40</v>
      </c>
      <c r="G19" s="108">
        <f t="shared" si="1"/>
        <v>24</v>
      </c>
      <c r="H19" s="113">
        <v>48240</v>
      </c>
      <c r="I19" s="110">
        <v>39020.800000000003</v>
      </c>
      <c r="J19" s="111">
        <f t="shared" si="2"/>
        <v>80.8888888888889</v>
      </c>
      <c r="K19" s="111">
        <f t="shared" si="3"/>
        <v>32.355555555555561</v>
      </c>
      <c r="L19" s="112">
        <f t="shared" si="4"/>
        <v>56.355555555555561</v>
      </c>
      <c r="M19" s="35">
        <v>9</v>
      </c>
      <c r="N19" s="34"/>
    </row>
    <row r="20" spans="1:14" ht="16.5" thickBot="1">
      <c r="A20" s="26">
        <v>6</v>
      </c>
      <c r="B20" s="27" t="s">
        <v>23</v>
      </c>
      <c r="C20" s="28">
        <v>45</v>
      </c>
      <c r="D20" s="28">
        <v>10</v>
      </c>
      <c r="E20" s="28">
        <v>15</v>
      </c>
      <c r="F20" s="28">
        <f t="shared" si="0"/>
        <v>70</v>
      </c>
      <c r="G20" s="28">
        <f t="shared" si="1"/>
        <v>42</v>
      </c>
      <c r="H20" s="33">
        <v>48788.67</v>
      </c>
      <c r="I20" s="30">
        <v>44370</v>
      </c>
      <c r="J20" s="31">
        <f t="shared" si="2"/>
        <v>90.943245634693469</v>
      </c>
      <c r="K20" s="31">
        <f t="shared" si="3"/>
        <v>36.377298253877392</v>
      </c>
      <c r="L20" s="32">
        <f t="shared" si="4"/>
        <v>78.377298253877399</v>
      </c>
      <c r="M20" s="36">
        <v>3</v>
      </c>
      <c r="N20" s="49">
        <v>3</v>
      </c>
    </row>
    <row r="21" spans="1:14" ht="19.5" thickBot="1">
      <c r="A21" s="26">
        <v>7</v>
      </c>
      <c r="B21" s="27" t="s">
        <v>24</v>
      </c>
      <c r="C21" s="28">
        <v>35</v>
      </c>
      <c r="D21" s="28">
        <v>25</v>
      </c>
      <c r="E21" s="28">
        <v>15</v>
      </c>
      <c r="F21" s="28">
        <f t="shared" ref="F21:F22" si="5">+C21+D21+E21</f>
        <v>75</v>
      </c>
      <c r="G21" s="28">
        <f t="shared" ref="G21:G22" si="6">F21*G$14</f>
        <v>45</v>
      </c>
      <c r="H21" s="29">
        <v>46900</v>
      </c>
      <c r="I21" s="30">
        <v>44370</v>
      </c>
      <c r="J21" s="31">
        <f t="shared" ref="J21:J22" si="7">(I21/H21)*100</f>
        <v>94.605543710021323</v>
      </c>
      <c r="K21" s="31">
        <f t="shared" ref="K21:K22" si="8">J21*K$14</f>
        <v>37.842217484008529</v>
      </c>
      <c r="L21" s="32">
        <f t="shared" ref="L21:L22" si="9">K21+G21</f>
        <v>82.842217484008529</v>
      </c>
      <c r="M21" s="36">
        <v>1</v>
      </c>
      <c r="N21" s="118">
        <v>1</v>
      </c>
    </row>
    <row r="22" spans="1:14" ht="16.5" thickBot="1">
      <c r="A22" s="11">
        <v>8</v>
      </c>
      <c r="B22" s="12" t="s">
        <v>25</v>
      </c>
      <c r="C22" s="108">
        <v>30</v>
      </c>
      <c r="D22" s="108">
        <v>20</v>
      </c>
      <c r="E22" s="108">
        <v>15</v>
      </c>
      <c r="F22" s="108">
        <f t="shared" si="5"/>
        <v>65</v>
      </c>
      <c r="G22" s="108">
        <f t="shared" si="6"/>
        <v>39</v>
      </c>
      <c r="H22" s="113">
        <v>59129.2</v>
      </c>
      <c r="I22" s="110">
        <v>39020.800000000003</v>
      </c>
      <c r="J22" s="111">
        <f t="shared" si="7"/>
        <v>65.992436900888237</v>
      </c>
      <c r="K22" s="111">
        <f t="shared" si="8"/>
        <v>26.396974760355295</v>
      </c>
      <c r="L22" s="112">
        <f t="shared" si="9"/>
        <v>65.396974760355292</v>
      </c>
      <c r="M22" s="35">
        <v>6</v>
      </c>
      <c r="N22" s="34"/>
    </row>
    <row r="23" spans="1:14" ht="16.5" thickBot="1">
      <c r="A23" s="11">
        <v>9</v>
      </c>
      <c r="B23" s="12" t="s">
        <v>26</v>
      </c>
      <c r="C23" s="108">
        <v>30</v>
      </c>
      <c r="D23" s="108">
        <v>20</v>
      </c>
      <c r="E23" s="108">
        <v>10</v>
      </c>
      <c r="F23" s="108">
        <f t="shared" si="0"/>
        <v>60</v>
      </c>
      <c r="G23" s="108">
        <f t="shared" si="1"/>
        <v>36</v>
      </c>
      <c r="H23" s="113">
        <v>48240</v>
      </c>
      <c r="I23" s="110">
        <v>39020.800000000003</v>
      </c>
      <c r="J23" s="111">
        <f t="shared" si="2"/>
        <v>80.8888888888889</v>
      </c>
      <c r="K23" s="111">
        <f t="shared" si="3"/>
        <v>32.355555555555561</v>
      </c>
      <c r="L23" s="112">
        <f t="shared" si="4"/>
        <v>68.355555555555554</v>
      </c>
      <c r="M23" s="35">
        <v>5</v>
      </c>
      <c r="N23" s="34"/>
    </row>
    <row r="24" spans="1:14" ht="16.5" thickBot="1">
      <c r="A24" s="11">
        <v>10</v>
      </c>
      <c r="B24" s="12" t="s">
        <v>27</v>
      </c>
      <c r="C24" s="114">
        <v>25</v>
      </c>
      <c r="D24" s="114">
        <v>10</v>
      </c>
      <c r="E24" s="114">
        <v>17</v>
      </c>
      <c r="F24" s="108">
        <f t="shared" si="0"/>
        <v>52</v>
      </c>
      <c r="G24" s="114">
        <f t="shared" si="1"/>
        <v>31.2</v>
      </c>
      <c r="H24" s="115">
        <v>39020.800000000003</v>
      </c>
      <c r="I24" s="110">
        <v>39020.800000000003</v>
      </c>
      <c r="J24" s="116">
        <f t="shared" si="2"/>
        <v>100</v>
      </c>
      <c r="K24" s="116">
        <f t="shared" si="3"/>
        <v>40</v>
      </c>
      <c r="L24" s="117">
        <f t="shared" si="4"/>
        <v>71.2</v>
      </c>
      <c r="M24" s="35">
        <v>4</v>
      </c>
      <c r="N24" s="34"/>
    </row>
    <row r="26" spans="1:14">
      <c r="B26" s="24"/>
    </row>
    <row r="27" spans="1:14">
      <c r="B27" s="24"/>
    </row>
    <row r="31" spans="1:14">
      <c r="B31" s="3"/>
    </row>
    <row r="32" spans="1:14">
      <c r="B32" s="2"/>
    </row>
  </sheetData>
  <mergeCells count="1">
    <mergeCell ref="C3:H5"/>
  </mergeCells>
  <pageMargins left="0.31496062992125984" right="0.51181102362204722" top="0.55118110236220474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U21"/>
  <sheetViews>
    <sheetView tabSelected="1" topLeftCell="A5" zoomScaleNormal="100" workbookViewId="0">
      <selection activeCell="G15" sqref="G15"/>
    </sheetView>
  </sheetViews>
  <sheetFormatPr baseColWidth="10" defaultRowHeight="15"/>
  <cols>
    <col min="1" max="1" width="37.28515625" bestFit="1" customWidth="1"/>
    <col min="3" max="3" width="25.42578125" bestFit="1" customWidth="1"/>
    <col min="4" max="4" width="13.28515625" bestFit="1" customWidth="1"/>
    <col min="5" max="5" width="12.140625" bestFit="1" customWidth="1"/>
    <col min="7" max="7" width="24.28515625" bestFit="1" customWidth="1"/>
    <col min="8" max="8" width="12.140625" bestFit="1" customWidth="1"/>
  </cols>
  <sheetData>
    <row r="1" spans="1:229">
      <c r="D1" s="55"/>
      <c r="E1" s="56"/>
      <c r="F1" s="57"/>
      <c r="G1" s="55"/>
      <c r="H1" s="56"/>
      <c r="I1" s="57"/>
    </row>
    <row r="2" spans="1:229" ht="18.75">
      <c r="D2" s="58" t="s">
        <v>45</v>
      </c>
      <c r="E2" s="59"/>
      <c r="F2" s="60"/>
      <c r="G2" s="77" t="s">
        <v>46</v>
      </c>
      <c r="H2" s="78"/>
      <c r="I2" s="79"/>
    </row>
    <row r="3" spans="1:229" ht="19.5" thickBot="1">
      <c r="D3" s="61"/>
      <c r="E3" s="50"/>
      <c r="F3" s="62"/>
      <c r="G3" s="80"/>
      <c r="H3" s="81"/>
      <c r="I3" s="82"/>
    </row>
    <row r="4" spans="1:229">
      <c r="A4" s="37" t="s">
        <v>31</v>
      </c>
      <c r="B4" s="37"/>
      <c r="C4" s="51"/>
      <c r="D4" s="63" t="s">
        <v>32</v>
      </c>
      <c r="E4" s="38" t="s">
        <v>33</v>
      </c>
      <c r="F4" s="64" t="s">
        <v>34</v>
      </c>
      <c r="G4" s="63" t="s">
        <v>32</v>
      </c>
      <c r="H4" s="38" t="s">
        <v>33</v>
      </c>
      <c r="I4" s="64" t="s">
        <v>34</v>
      </c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FW4" s="39"/>
      <c r="FX4" s="39"/>
      <c r="FY4" s="39"/>
      <c r="FZ4" s="39"/>
      <c r="GA4" s="39"/>
      <c r="GB4" s="39"/>
      <c r="GC4" s="39"/>
      <c r="GD4" s="39"/>
      <c r="GE4" s="39"/>
      <c r="GF4" s="39"/>
      <c r="GG4" s="39"/>
      <c r="GH4" s="39"/>
      <c r="GI4" s="39"/>
      <c r="GJ4" s="39"/>
      <c r="GK4" s="39"/>
      <c r="GL4" s="39"/>
      <c r="GM4" s="39"/>
      <c r="GN4" s="39"/>
      <c r="GO4" s="39"/>
      <c r="GP4" s="39"/>
      <c r="GQ4" s="39"/>
      <c r="GR4" s="39"/>
      <c r="GS4" s="39"/>
      <c r="GT4" s="39"/>
      <c r="GU4" s="39"/>
      <c r="GV4" s="39"/>
      <c r="GW4" s="39"/>
      <c r="GX4" s="39"/>
      <c r="GY4" s="39"/>
      <c r="GZ4" s="39"/>
      <c r="HA4" s="39"/>
      <c r="HB4" s="39"/>
      <c r="HC4" s="39"/>
      <c r="HD4" s="39"/>
      <c r="HE4" s="39"/>
      <c r="HF4" s="39"/>
      <c r="HG4" s="39"/>
      <c r="HH4" s="39"/>
      <c r="HI4" s="39"/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</row>
    <row r="5" spans="1:229" ht="26.25" thickBot="1">
      <c r="A5" s="40"/>
      <c r="B5" s="40"/>
      <c r="C5" s="52" t="s">
        <v>35</v>
      </c>
      <c r="D5" s="65">
        <f>(536000*0.07)+4500</f>
        <v>42020</v>
      </c>
      <c r="E5" s="41" t="s">
        <v>36</v>
      </c>
      <c r="F5" s="66"/>
      <c r="G5" s="65">
        <f>(536000*0.07)+4500</f>
        <v>42020</v>
      </c>
      <c r="H5" s="41" t="s">
        <v>36</v>
      </c>
      <c r="I5" s="92"/>
      <c r="J5" s="99" t="s">
        <v>47</v>
      </c>
      <c r="K5" s="100" t="s">
        <v>48</v>
      </c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FW5" s="39"/>
      <c r="FX5" s="39"/>
      <c r="FY5" s="39"/>
      <c r="FZ5" s="39"/>
      <c r="GA5" s="39"/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  <c r="GS5" s="39"/>
      <c r="GT5" s="39"/>
      <c r="GU5" s="39"/>
      <c r="GV5" s="39"/>
      <c r="GW5" s="39"/>
      <c r="GX5" s="39"/>
      <c r="GY5" s="39"/>
      <c r="GZ5" s="39"/>
      <c r="HA5" s="39"/>
      <c r="HB5" s="39"/>
      <c r="HC5" s="39"/>
      <c r="HD5" s="39"/>
      <c r="HE5" s="39"/>
      <c r="HF5" s="39"/>
      <c r="HG5" s="39"/>
      <c r="HH5" s="39"/>
      <c r="HI5" s="39"/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</row>
    <row r="6" spans="1:229">
      <c r="A6" s="1" t="s">
        <v>18</v>
      </c>
      <c r="B6" s="1">
        <v>17500</v>
      </c>
      <c r="C6" s="53" t="s">
        <v>37</v>
      </c>
      <c r="D6" s="67">
        <v>57888</v>
      </c>
      <c r="E6" s="42">
        <v>4288</v>
      </c>
      <c r="F6" s="68">
        <v>10.8</v>
      </c>
      <c r="G6" s="67">
        <v>57888</v>
      </c>
      <c r="H6" s="42">
        <v>4288</v>
      </c>
      <c r="I6" s="93">
        <v>10.8</v>
      </c>
      <c r="J6" s="101"/>
      <c r="K6" s="102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</row>
    <row r="7" spans="1:229">
      <c r="A7" s="1" t="s">
        <v>19</v>
      </c>
      <c r="B7" s="1">
        <v>75002</v>
      </c>
      <c r="C7" s="53" t="s">
        <v>38</v>
      </c>
      <c r="D7" s="69">
        <v>55744</v>
      </c>
      <c r="E7" s="43">
        <f>3441.49/1.2</f>
        <v>2867.9083333333333</v>
      </c>
      <c r="F7" s="70">
        <v>10.4</v>
      </c>
      <c r="G7" s="69">
        <v>55744</v>
      </c>
      <c r="H7" s="43">
        <f>3441.49/1.2</f>
        <v>2867.9083333333333</v>
      </c>
      <c r="I7" s="94">
        <v>10.4</v>
      </c>
      <c r="J7" s="101"/>
      <c r="K7" s="102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</row>
    <row r="8" spans="1:229">
      <c r="A8" s="28" t="s">
        <v>20</v>
      </c>
      <c r="B8" s="28">
        <v>16000</v>
      </c>
      <c r="C8" s="54" t="s">
        <v>39</v>
      </c>
      <c r="D8" s="83">
        <v>46096</v>
      </c>
      <c r="E8" s="84">
        <f>6084.67/1.2</f>
        <v>5070.5583333333334</v>
      </c>
      <c r="F8" s="85">
        <v>8.6</v>
      </c>
      <c r="G8" s="87">
        <v>44370</v>
      </c>
      <c r="H8" s="88">
        <f>4884/1.2</f>
        <v>4070</v>
      </c>
      <c r="I8" s="89">
        <v>8.2799999999999994</v>
      </c>
      <c r="J8" s="103">
        <f>G8/536000</f>
        <v>8.277985074626866E-2</v>
      </c>
      <c r="K8" s="105">
        <f>D8-G8</f>
        <v>1726</v>
      </c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</row>
    <row r="9" spans="1:229">
      <c r="A9" s="1" t="s">
        <v>21</v>
      </c>
      <c r="B9" s="1">
        <v>33000</v>
      </c>
      <c r="C9" s="53" t="s">
        <v>40</v>
      </c>
      <c r="D9" s="69">
        <v>50920</v>
      </c>
      <c r="E9" s="43">
        <f>4277.28/1.2</f>
        <v>3564.4</v>
      </c>
      <c r="F9" s="70">
        <v>9.5</v>
      </c>
      <c r="G9" s="69">
        <v>50920</v>
      </c>
      <c r="H9" s="43">
        <f>4277.28/1.2</f>
        <v>3564.4</v>
      </c>
      <c r="I9" s="94">
        <v>9.5</v>
      </c>
      <c r="J9" s="101"/>
      <c r="K9" s="102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</row>
    <row r="10" spans="1:229">
      <c r="A10" s="1" t="s">
        <v>22</v>
      </c>
      <c r="B10" s="1">
        <v>33000</v>
      </c>
      <c r="C10" s="53" t="s">
        <v>40</v>
      </c>
      <c r="D10" s="69">
        <v>48240</v>
      </c>
      <c r="E10" s="43">
        <v>4100.3999999999996</v>
      </c>
      <c r="F10" s="70">
        <v>9</v>
      </c>
      <c r="G10" s="69">
        <v>48240</v>
      </c>
      <c r="H10" s="43">
        <v>4100.3999999999996</v>
      </c>
      <c r="I10" s="94">
        <v>9</v>
      </c>
      <c r="J10" s="101"/>
      <c r="K10" s="102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</row>
    <row r="11" spans="1:229">
      <c r="A11" s="28" t="s">
        <v>23</v>
      </c>
      <c r="B11" s="28">
        <v>33130</v>
      </c>
      <c r="C11" s="54" t="s">
        <v>41</v>
      </c>
      <c r="D11" s="83">
        <v>49580</v>
      </c>
      <c r="E11" s="84">
        <f>5949.6/1.2</f>
        <v>4958.0000000000009</v>
      </c>
      <c r="F11" s="86">
        <v>9.25</v>
      </c>
      <c r="G11" s="87">
        <v>48788.67</v>
      </c>
      <c r="H11" s="88">
        <v>5000</v>
      </c>
      <c r="I11" s="95">
        <v>9.1</v>
      </c>
      <c r="J11" s="101">
        <f>48788.67/536000</f>
        <v>9.1023638059701484E-2</v>
      </c>
      <c r="K11" s="105">
        <f>D11-G11</f>
        <v>791.33000000000175</v>
      </c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</row>
    <row r="12" spans="1:229">
      <c r="A12" s="28" t="s">
        <v>24</v>
      </c>
      <c r="B12" s="28">
        <v>33200</v>
      </c>
      <c r="C12" s="54" t="s">
        <v>40</v>
      </c>
      <c r="D12" s="72">
        <v>47704</v>
      </c>
      <c r="E12" s="48">
        <v>4824</v>
      </c>
      <c r="F12" s="73">
        <v>8.9</v>
      </c>
      <c r="G12" s="90">
        <v>46900</v>
      </c>
      <c r="H12" s="91">
        <f>4824/1.2</f>
        <v>4020</v>
      </c>
      <c r="I12" s="96">
        <v>8.75</v>
      </c>
      <c r="J12" s="101">
        <f>G12/536000</f>
        <v>8.7499999999999994E-2</v>
      </c>
      <c r="K12" s="105">
        <f>D12-G12</f>
        <v>804</v>
      </c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</row>
    <row r="13" spans="1:229">
      <c r="A13" s="1" t="s">
        <v>25</v>
      </c>
      <c r="B13" s="1">
        <v>16000</v>
      </c>
      <c r="C13" s="53" t="s">
        <v>39</v>
      </c>
      <c r="D13" s="69">
        <v>59129.2</v>
      </c>
      <c r="E13" s="43">
        <v>7700</v>
      </c>
      <c r="F13" s="71">
        <v>11.03</v>
      </c>
      <c r="G13" s="69">
        <v>59129.2</v>
      </c>
      <c r="H13" s="43">
        <v>7700</v>
      </c>
      <c r="I13" s="97">
        <v>11.03</v>
      </c>
      <c r="J13" s="101"/>
      <c r="K13" s="102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</row>
    <row r="14" spans="1:229">
      <c r="A14" s="1" t="s">
        <v>26</v>
      </c>
      <c r="B14" s="1">
        <v>16710</v>
      </c>
      <c r="C14" s="53" t="s">
        <v>42</v>
      </c>
      <c r="D14" s="69">
        <v>48240</v>
      </c>
      <c r="E14" s="43">
        <f>4631.04/1.2</f>
        <v>3859.2000000000003</v>
      </c>
      <c r="F14" s="70">
        <v>9</v>
      </c>
      <c r="G14" s="69">
        <v>48240</v>
      </c>
      <c r="H14" s="43">
        <f>4631.04/1.2</f>
        <v>3859.2000000000003</v>
      </c>
      <c r="I14" s="94">
        <v>9</v>
      </c>
      <c r="J14" s="101"/>
      <c r="K14" s="102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</row>
    <row r="15" spans="1:229">
      <c r="A15" s="1" t="s">
        <v>27</v>
      </c>
      <c r="B15" s="1">
        <v>17770</v>
      </c>
      <c r="C15" s="53" t="s">
        <v>43</v>
      </c>
      <c r="D15" s="69">
        <v>39020.800000000003</v>
      </c>
      <c r="E15" s="43">
        <v>4288</v>
      </c>
      <c r="F15" s="70">
        <v>7.8</v>
      </c>
      <c r="G15" s="69">
        <v>39020.800000000003</v>
      </c>
      <c r="H15" s="43">
        <v>4288</v>
      </c>
      <c r="I15" s="94">
        <v>7.8</v>
      </c>
      <c r="J15" s="101"/>
      <c r="K15" s="102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</row>
    <row r="16" spans="1:229" ht="15.75" thickBot="1">
      <c r="A16" s="44"/>
      <c r="B16" s="45"/>
      <c r="C16" s="46" t="s">
        <v>44</v>
      </c>
      <c r="D16" s="74">
        <f>(SUM(D6:D15))/10</f>
        <v>50256.2</v>
      </c>
      <c r="E16" s="75">
        <f>(SUM(E6:E15))/10</f>
        <v>4552.0466666666662</v>
      </c>
      <c r="F16" s="76">
        <f>(SUM(F6:F15))/10</f>
        <v>9.4280000000000008</v>
      </c>
      <c r="G16" s="74">
        <f>(SUM(G6:G15))/10</f>
        <v>49924.066999999995</v>
      </c>
      <c r="H16" s="75">
        <f>(SUM(H6:H15))/10</f>
        <v>4375.7908333333326</v>
      </c>
      <c r="I16" s="98">
        <f>(SUM(I6:I15))/10</f>
        <v>9.3660000000000014</v>
      </c>
      <c r="J16" s="104"/>
      <c r="K16" s="104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</row>
    <row r="19" spans="4:10" ht="51.75" customHeight="1">
      <c r="D19" s="106" t="s">
        <v>49</v>
      </c>
      <c r="E19" s="106"/>
      <c r="F19" s="106"/>
      <c r="G19" s="106"/>
      <c r="H19" s="106"/>
      <c r="I19" s="106"/>
      <c r="J19" s="106"/>
    </row>
    <row r="20" spans="4:10" ht="15.75" thickBot="1">
      <c r="H20" t="s">
        <v>50</v>
      </c>
    </row>
    <row r="21" spans="4:10" ht="19.5" thickBot="1">
      <c r="G21" s="119">
        <f>G12-H12</f>
        <v>42880</v>
      </c>
      <c r="H21" s="107">
        <f>G21/536000</f>
        <v>0.08</v>
      </c>
    </row>
  </sheetData>
  <mergeCells count="4">
    <mergeCell ref="A4:C4"/>
    <mergeCell ref="D2:F2"/>
    <mergeCell ref="G2:I2"/>
    <mergeCell ref="D19:J19"/>
  </mergeCells>
  <hyperlinks>
    <hyperlink ref="K8" r:id="rId1" display="Neyrat Michelet\AE-CCAP négocié ANM.pdf"/>
    <hyperlink ref="K11" r:id="rId2" display="Pourtier\AE-CCAP-a (version 2) négo.pdf"/>
    <hyperlink ref="K12" r:id="rId3" display="SODA\AE MODIFIE-18-07-18.pdf"/>
    <hyperlink ref="G21" r:id="rId4" display="SODA\courriel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notation</vt:lpstr>
      <vt:lpstr>honoraires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G-LIOT</dc:creator>
  <cp:lastModifiedBy>gliot-nb</cp:lastModifiedBy>
  <cp:lastPrinted>2018-06-25T07:48:38Z</cp:lastPrinted>
  <dcterms:created xsi:type="dcterms:W3CDTF">2017-10-26T08:58:00Z</dcterms:created>
  <dcterms:modified xsi:type="dcterms:W3CDTF">2018-07-22T08:12:33Z</dcterms:modified>
</cp:coreProperties>
</file>